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020" tabRatio="920" activeTab="0"/>
  </bookViews>
  <sheets>
    <sheet name="Planilha Orçamentaria" sheetId="1" r:id="rId1"/>
    <sheet name="Indices Reajustamento" sheetId="2" r:id="rId2"/>
    <sheet name="Cronograma" sheetId="3" r:id="rId3"/>
    <sheet name="Memoria de Calculo" sheetId="4" r:id="rId4"/>
  </sheets>
  <definedNames>
    <definedName name="_xlnm.Print_Area" localSheetId="2">'Cronograma'!$A$1:$S$35</definedName>
    <definedName name="_xlnm.Print_Area" localSheetId="3">'Memoria de Calculo'!$A$1:$E$290</definedName>
    <definedName name="_xlnm.Print_Area" localSheetId="0">'Planilha Orçamentaria'!$A$1:$G$77</definedName>
    <definedName name="_xlnm.Print_Titles" localSheetId="3">'Memoria de Calculo'!$4:$4</definedName>
    <definedName name="_xlnm.Print_Titles" localSheetId="0">'Planilha Orçamentaria'!$8:$9</definedName>
  </definedNames>
  <calcPr fullCalcOnLoad="1" fullPrecision="0"/>
</workbook>
</file>

<file path=xl/sharedStrings.xml><?xml version="1.0" encoding="utf-8"?>
<sst xmlns="http://schemas.openxmlformats.org/spreadsheetml/2006/main" count="729" uniqueCount="410">
  <si>
    <t>m</t>
  </si>
  <si>
    <t>ITEM</t>
  </si>
  <si>
    <t xml:space="preserve">SERVIÇOS PRELIMINARES </t>
  </si>
  <si>
    <t>1.1</t>
  </si>
  <si>
    <t>m²</t>
  </si>
  <si>
    <t>1.2</t>
  </si>
  <si>
    <t>CRONOGRAMA FÍSICO FINANCEIRO</t>
  </si>
  <si>
    <t>ÍTEM</t>
  </si>
  <si>
    <t>SERVIÇOS PRELIMINARES</t>
  </si>
  <si>
    <t>TOTAL SIMPLES</t>
  </si>
  <si>
    <t>TOTAL ACUMULADO</t>
  </si>
  <si>
    <t>mês</t>
  </si>
  <si>
    <t>DISCRIMINAÇÃO DOS SERVIÇOS</t>
  </si>
  <si>
    <t>VALOR DAS OBRAS E %</t>
  </si>
  <si>
    <t>DESCRIÇÃO</t>
  </si>
  <si>
    <t>Placa de obra nas dimensões de 2.0 x 4.0 m, padrão SEDURB</t>
  </si>
  <si>
    <t>m³</t>
  </si>
  <si>
    <t>QUANT.</t>
  </si>
  <si>
    <t>PLANILHA ORÇAMENTÁRIA</t>
  </si>
  <si>
    <t>2.1</t>
  </si>
  <si>
    <t>2.2</t>
  </si>
  <si>
    <t>PAVIMENTAÇÃO</t>
  </si>
  <si>
    <t>1.3</t>
  </si>
  <si>
    <t>41580/DER</t>
  </si>
  <si>
    <t>Aluguel de container tipo sanitário com 3 vasos sanitários, lavatório, mictório, 5 chuveiros, 2 venezianas e piso especial</t>
  </si>
  <si>
    <t>MOVIMENTAÇÃO DE TERRA</t>
  </si>
  <si>
    <t>PMAG</t>
  </si>
  <si>
    <t>PRAZO DE EXECUÇÃO</t>
  </si>
  <si>
    <t>3.1</t>
  </si>
  <si>
    <t>3.2</t>
  </si>
  <si>
    <t>3.3</t>
  </si>
  <si>
    <t>4.1</t>
  </si>
  <si>
    <t>4.2</t>
  </si>
  <si>
    <t>4.3</t>
  </si>
  <si>
    <t>3.4</t>
  </si>
  <si>
    <t>4.4</t>
  </si>
  <si>
    <t>und</t>
  </si>
  <si>
    <t>A</t>
  </si>
  <si>
    <t>DRENAGEM E PAVIMENTAÇÃO</t>
  </si>
  <si>
    <t>REDE COLETORA DE ESGOTO SANITÁRIO</t>
  </si>
  <si>
    <t>B</t>
  </si>
  <si>
    <t>5.1</t>
  </si>
  <si>
    <t>MOVIMENTO DE TERRA</t>
  </si>
  <si>
    <t>TUBULAÇÕES</t>
  </si>
  <si>
    <t>6.1</t>
  </si>
  <si>
    <t>7.1</t>
  </si>
  <si>
    <t>POÇO DE VISITA</t>
  </si>
  <si>
    <t>8.1</t>
  </si>
  <si>
    <t>und.</t>
  </si>
  <si>
    <t>9.1</t>
  </si>
  <si>
    <t>LIGAÇÃO DOMICILIAR DE ESGOTO</t>
  </si>
  <si>
    <t>10.1</t>
  </si>
  <si>
    <t>10.2</t>
  </si>
  <si>
    <t>Corpo BSTC (greide) diâmetro 0,60 m CA-2 MF inclusive escavação, reaterro e transporte do tubo</t>
  </si>
  <si>
    <t>40430/ DER</t>
  </si>
  <si>
    <t>Altura do colchão = 0,10m</t>
  </si>
  <si>
    <t>40425/ DER</t>
  </si>
  <si>
    <t>Corpo BSTC (greide) diâmetro 0,40 m CA-2 MF inclusive escavação ,reaterro e transporte do tubo</t>
  </si>
  <si>
    <t>40421/ DER</t>
  </si>
  <si>
    <t>Corpo BSTC (greide) diâmetro 0,30 m CA-1 MF inclusive escavação, reaterro e transporte do tubo</t>
  </si>
  <si>
    <t>41241/ DER</t>
  </si>
  <si>
    <t>Caixa ralo em blocos pré-moldados e grelha articulada em FFA em Vias Urbanas</t>
  </si>
  <si>
    <t>Larg. do corte = 0,60m</t>
  </si>
  <si>
    <t>Prof. do corte = 1,15m</t>
  </si>
  <si>
    <t>Larg. da vala = 0,60m</t>
  </si>
  <si>
    <t>Área tubo 150mm = 3,1416x0,075²</t>
  </si>
  <si>
    <t>REDE DE ÁGUA TRATADA</t>
  </si>
  <si>
    <t>LIGAÇÃO DOMICILIAR DE ÁGUA</t>
  </si>
  <si>
    <t>11.4</t>
  </si>
  <si>
    <t>COMPOSIÇÃO 01</t>
  </si>
  <si>
    <t>8.2</t>
  </si>
  <si>
    <t>1.4</t>
  </si>
  <si>
    <t>9.2</t>
  </si>
  <si>
    <t>11.5</t>
  </si>
  <si>
    <t>1.5</t>
  </si>
  <si>
    <t>1.6</t>
  </si>
  <si>
    <t>1.7</t>
  </si>
  <si>
    <t>Escarificação e compactação de base (100% P.I.) H-&gt;0,20m</t>
  </si>
  <si>
    <t>Mobilização e desmobilização de container de 51 km até 150 km</t>
  </si>
  <si>
    <t>Escavação mecânica, para preparo da caixa de rua, conforme projeto</t>
  </si>
  <si>
    <t>2.3</t>
  </si>
  <si>
    <t>Carga, descarga e bota-fora de material proveniente de escavações</t>
  </si>
  <si>
    <t>Larg. do corte = 1,00m</t>
  </si>
  <si>
    <t>Comprimento corte = 1,00m</t>
  </si>
  <si>
    <t>Comprimento do corte = 1,00m</t>
  </si>
  <si>
    <t>Área tubo 600mm = 3,1416x0,30²</t>
  </si>
  <si>
    <t>Altura do aterro = 1,15m</t>
  </si>
  <si>
    <t>DRENAGEM</t>
  </si>
  <si>
    <t>MOVIMENTAÇÃO DE TERRA                      (Rede Esgoto)</t>
  </si>
  <si>
    <t>TUBULAÇÕES                                      (Rede Esgoto)</t>
  </si>
  <si>
    <t>POÇO DE VISITA                                     (Rede Esgoto)</t>
  </si>
  <si>
    <t>TOTAL</t>
  </si>
  <si>
    <t>Caixa de Inspeção ø0,60m</t>
  </si>
  <si>
    <t>Rede ø 0,15m</t>
  </si>
  <si>
    <t>CÁLCULO</t>
  </si>
  <si>
    <t>41496/DER</t>
  </si>
  <si>
    <t>41501/DER</t>
  </si>
  <si>
    <t xml:space="preserve">Rede de água c/ padrão de entrada d'água diâm. 3/4" conf. CESAN, incl. tubos e conexões p/ aliment., distrib., extravas. e limp., cons. o padrão a 25m
</t>
  </si>
  <si>
    <t>41499/DER</t>
  </si>
  <si>
    <t>Rede de esgoto, contendo fossa e filtro, incl. tubos e conexões de ligação entre caixas, considerando distância de 25m</t>
  </si>
  <si>
    <t>41503/DER</t>
  </si>
  <si>
    <t>1.8</t>
  </si>
  <si>
    <t>Rede de luz, incl. padrão entr. energia trifás. cabo ligação até barracões, quadro distrib., disj. E  chave de força, cons. 20m entre padrão entr.e QDG</t>
  </si>
  <si>
    <t>40663/DER</t>
  </si>
  <si>
    <t>Meio fio de concreto pré-moldado (12 x 30 x 15) cm, inclusive caiação e transporte do meio fio</t>
  </si>
  <si>
    <t>40884/DER</t>
  </si>
  <si>
    <t>41180 / DER</t>
  </si>
  <si>
    <t>Sarjeta de concreto SCA 40/10</t>
  </si>
  <si>
    <t>41240 / DER</t>
  </si>
  <si>
    <t>Passeio em concreto, largura 2,00m, acabamento em ladrilho hidráulico podotátil (L=0,40m)</t>
  </si>
  <si>
    <t>Corpo BSTC (greide) diâmetro 0,40 m CA-2 MF inclusive escavação, reaterro e transporte do tubo</t>
  </si>
  <si>
    <t>43051/ DER</t>
  </si>
  <si>
    <t>Poço de visita (tubo D=0,60 m) H=1,70 m com tampão F.F.A.P., inclusive escavação e
transporte do tampão, em Vias Urbanas</t>
  </si>
  <si>
    <t>DRENAGEM E OBRAS DE ARTE</t>
  </si>
  <si>
    <t>A = 2,00x4,00 = 8,00m²</t>
  </si>
  <si>
    <t>A = 2,00 x 6,00 = 12,00m²</t>
  </si>
  <si>
    <t>Rede de água c/ padrão de entrada d'água diâm. 3/4" conf. CESAN, incl. tubos e conexões p/ aliment., distrib., extravas. e limp., cons. o padrão a 25m</t>
  </si>
  <si>
    <t>C = 20,00m</t>
  </si>
  <si>
    <t>MEMÓRIA DE CÁLCULO</t>
  </si>
  <si>
    <t>Q6 = 2x4,00m = 8,00m - PV2</t>
  </si>
  <si>
    <t>Rua Projetada 20</t>
  </si>
  <si>
    <t>Poço de visita (tubo D=0,60 m) H=1,70 m com tampão F.F.A.P., inclusive escavação e transporte do tampão, em Vias Urbanas</t>
  </si>
  <si>
    <t>Rua Projetada 21</t>
  </si>
  <si>
    <t>(COMPOSIÇÃO REPRESENTATIVA) POÇO DE VISITA CIRCULAR PARA ESGOTO, EM CONCRETO PRÉ-MOLDADO, DIÂMETRO INTERNO = 1,0 M, PROFUNDIDADE ATÉ 1,50 M,EXCLUINDO TAMPÃO. AF_04/2018</t>
  </si>
  <si>
    <t>SINAPI 98415</t>
  </si>
  <si>
    <t>COLETOR PREDIAL DE ESGOTO, DA CAIXA ATÉ A REDE (DISTÂNCIA = 10 M, LARGURA DA VALA = 0,65 M), INCLUINDO ESCAVAÇÃO MANUAL, PREPARO DE FUNDO DEVALA E REATERRO MANUAL COM COMPACTAÇÃO MECANIZADA, TUBO PVC P/ REDE COLETORA ESGOTO JEI DN 100 MM E CONEXÕES - FORNECIMENTO E INSTALAÇÃO. AF_03/2016</t>
  </si>
  <si>
    <t>SINAPI 93350</t>
  </si>
  <si>
    <t>Parte - Rua Projetada 09</t>
  </si>
  <si>
    <t>Rua Projetada 16</t>
  </si>
  <si>
    <t>REDE AGUA PVC PBA 15 DN 50 S/PAV</t>
  </si>
  <si>
    <t>CESAN 7250100010</t>
  </si>
  <si>
    <t>LIG PRED AGUA DN 20, C/ COLAR, S/PAV</t>
  </si>
  <si>
    <t>CESAN 7200100090</t>
  </si>
  <si>
    <t>Q1 = 1,00und</t>
  </si>
  <si>
    <t>POÇO DE VISITA - REGISTRO</t>
  </si>
  <si>
    <t>(COMPOSIÇÃO REPRESENTATIVA) POÇO DE VISITA CIRCULAR PARA AGUA, EM CONCRETO PRÉ-MOLDADO, DIÂMETRO INTERNO = 1,0 M, PROFUNDIDADE ATÉ 1,50 M,EXCLUINDO TAMPÃO. AF_04/2018</t>
  </si>
  <si>
    <t>POÇO DE VISITA  - REGISTRO                                   (Rede Água)</t>
  </si>
  <si>
    <t>41500/DER</t>
  </si>
  <si>
    <t>Barracão em chapa compensada 12mm e pont. 8x8cm, piso cimentado e cobertura de telhas
fibrocimento 6mm, incl. ponto de luz</t>
  </si>
  <si>
    <t>41531/DER</t>
  </si>
  <si>
    <t>EXTENSÃO DE REDE DOMICILIAR DE ÁGUA NA CALÇADA</t>
  </si>
  <si>
    <t>EXTENSÃO DE REDE DOMICILIAR DE ESGOTO NA CALÇADA</t>
  </si>
  <si>
    <t>Prof. do corte = 0,60m</t>
  </si>
  <si>
    <t>Larg. do corte = 0,40m</t>
  </si>
  <si>
    <t>Altura do aterro = 0,60m</t>
  </si>
  <si>
    <t>Larg. da vala = 0,40m</t>
  </si>
  <si>
    <t>TUBULAÇÕES E REGISTROS</t>
  </si>
  <si>
    <t>COMPOSIÇÃO 02</t>
  </si>
  <si>
    <t>C</t>
  </si>
  <si>
    <t>SISTEMA DE DISTRIBUIÇÃO DE ÁGUA TRATADA</t>
  </si>
  <si>
    <t xml:space="preserve">SISTEMA DE ESGOTAMENTO SANITÁRIO </t>
  </si>
  <si>
    <t xml:space="preserve">SISTEMA DE DISTRIBUIÇÃO DE ÁGUA TRATADA </t>
  </si>
  <si>
    <t>Fornecimento e instalação de válvula gaveta FoFo chata  c/BJE p/ tubo de PVC, cunha de borracha ,PN10 - 50 MM  NBR14.968</t>
  </si>
  <si>
    <t>Caixa de proteção para hidrômetro em polipropileno instalada no passeio, padrão CESAN, inclusive Kit de conexões, marca de referência Doal Plastic ou similar</t>
  </si>
  <si>
    <r>
      <t xml:space="preserve">PROPRIETARIO : </t>
    </r>
    <r>
      <rPr>
        <sz val="12"/>
        <rFont val="Arial"/>
        <family val="2"/>
      </rPr>
      <t>Prefeitura Municipal de Águia Branca / ES</t>
    </r>
  </si>
  <si>
    <t>UNID.</t>
  </si>
  <si>
    <t>PROPRIETARIO : Prefeitura Municipal de Águia Branca / ES</t>
  </si>
  <si>
    <t>PV5 = 1,00und</t>
  </si>
  <si>
    <t>PV2 = 1,00und</t>
  </si>
  <si>
    <t>PV - Registro = 1,00und</t>
  </si>
  <si>
    <t>TUBULAÇÕES (Rede Água)</t>
  </si>
  <si>
    <t>Placa de obra nas dimensões de 2,0 x 4,0 m, padrão SEDURB-ES</t>
  </si>
  <si>
    <t>C = 25,00m</t>
  </si>
  <si>
    <t>_______________________________
Evandro G. C. Medeiros
Engenheiro Civil
Crea MG: 71.548/D</t>
  </si>
  <si>
    <t>TOTAL GERAL DO ORÇAMENTO</t>
  </si>
  <si>
    <t>_____________________________________
Evandro G. C. Medeiros
Engenheiro Civil
Crea MG: 71.548/D</t>
  </si>
  <si>
    <t>EQUIPE TOPOGRAFICA OBRA POR MÊS</t>
  </si>
  <si>
    <t>CESAN 7020100120</t>
  </si>
  <si>
    <t>un/m</t>
  </si>
  <si>
    <t>Q = 1,00 und/mês</t>
  </si>
  <si>
    <t>SINAPI 89714</t>
  </si>
  <si>
    <t>TUBO PVC, SERIE NORMAL, ESGOTO PREDIAL, DN 100 MM, FORNECIDO E INSTALADO EM RAMAL DE DESCARGA OU RAMAL DE ESGOTO SANITÁRIO. AF_12/2014</t>
  </si>
  <si>
    <t>TUBO, PVC, SOLDÁVEL, DN 20MM, INSTALADO EM RAMAL DE DISTRIBUIÇÃO DE ÁGUA - FORNECIMENTO E INSTALAÇÃO. AF_12/2014</t>
  </si>
  <si>
    <t>SINAPI 89401</t>
  </si>
  <si>
    <t>SINAPI 93358</t>
  </si>
  <si>
    <t>REATERRO MANUAL DE VALAS COM COMPACTAÇÃO MECANIZADA. AF_04/2016</t>
  </si>
  <si>
    <t>SINAPI 93382</t>
  </si>
  <si>
    <t xml:space="preserve">TOTAL </t>
  </si>
  <si>
    <t>INSTALAÇÃO DO CANTEIRO DE OBRAS</t>
  </si>
  <si>
    <t>D</t>
  </si>
  <si>
    <t>Pavimentação com blocos de concreto (35 MPa), esp.= 08 cm, colchão areia esp.= 5cm, inclusive fornecimento e transporte dos blocos e areia</t>
  </si>
  <si>
    <t>43050/ DER</t>
  </si>
  <si>
    <t>Poço de visita (tubo D=0,40 m) H=1,50 m com tampão F.F.A.P., inclusive escavação e transporte do tampão, em Vias Urbanas</t>
  </si>
  <si>
    <t>DESCRIÇÃO DOS SERVIÇOS</t>
  </si>
  <si>
    <r>
      <t xml:space="preserve">PROPRIETARIO : </t>
    </r>
    <r>
      <rPr>
        <sz val="14"/>
        <rFont val="Arial"/>
        <family val="2"/>
      </rPr>
      <t>Prefeitura Municipal de Águia Branca / ES</t>
    </r>
  </si>
  <si>
    <t>CÓDIGO/ORGÃOS  REFERÊNCIA</t>
  </si>
  <si>
    <t>FÍSICO / FINANCEIRO</t>
  </si>
  <si>
    <t>SINAPI 94338</t>
  </si>
  <si>
    <t>ATERRO MECANIZADO DE VALA COM RETROESCAVADEIRA (CAPACIDADE DA CAÇAMBA DA RETRO: 0,26 M³ / POTÊNCIA: 88 HP), LARGURA ATÉ 0,8 M, PROFUNDIDADE ATÉ 1,5 M, COM AREIA PARA ATERRO. AF_05/2016</t>
  </si>
  <si>
    <t>UNIT. C/ BDI 23,32%</t>
  </si>
  <si>
    <r>
      <t xml:space="preserve">OBRA : </t>
    </r>
    <r>
      <rPr>
        <sz val="14"/>
        <rFont val="Arial"/>
        <family val="2"/>
      </rPr>
      <t>Pavimentação das Ruas Projetada 16, 20, 21, 22, 23, e Parte das Ruas Projetada 01, 09,19; Sistemas de Drenagem da Rua  Projetada 22 e Parte das Ruas Projetada 01,16; Sistema de Esgotamento Sanitário e Sistema de Abastecimento de Água Tratada das Ruas Projetada 22, 23 e Parte das Ruas Projetada 01,16; Localizadas no Loteamento Mirante dos Pontões na Sede do Município de Águia Branca - ES.</t>
    </r>
  </si>
  <si>
    <t>OBRA :Pavimentação das Ruas Projetada 16, 20, 21, 22, 23, e Parte das Ruas Projetada 01, 09,19; Sistemas de Drenagem da Rua  Projetada 22 e Parte das Ruas Projetada 01,16; Sistema de Esgotamento Sanitário e Sistema de Abastecimento de Água Tratada das Ruas Projetada 22, 23 e Parte das Ruas Projetada 01,16; Localizadas no Loteamento Mirante dos Pontões na Sede do Município de Águia Branca - ES.</t>
  </si>
  <si>
    <t>OBRA : Pavimentação das Ruas Projetada 16, 20, 21, 22, 23, e Parte das Ruas Projetada 01, 09,19; Sistemas de Drenagem da Rua  Projetada 22 e Parte das Ruas Projetada 01,16; Sistema de Esgotamento Sanitário e Sistema de Abastecimento de Água Tratada das Ruas Projetada 22, 23 e Parte das Ruas Projetada 01,16; Localizadas no Loteamento Mirante dos Pontões na Sede do Município de Águia Branca - ES.</t>
  </si>
  <si>
    <t>Q = 1,00 x 12mêses</t>
  </si>
  <si>
    <t>Parte - Rua Projetada 01</t>
  </si>
  <si>
    <r>
      <rPr>
        <b/>
        <sz val="12"/>
        <rFont val="Arial"/>
        <family val="2"/>
      </rPr>
      <t xml:space="preserve">Meio Fio: 
</t>
    </r>
    <r>
      <rPr>
        <sz val="12"/>
        <rFont val="Arial"/>
        <family val="2"/>
      </rPr>
      <t xml:space="preserve">415,78+1,55+4,60+4,60+1,00+1,00+130,02+130,32+1,00+1,00+138,24+138,13+1,00+1,00+115,04+114,64+1,00+1,00+3,50+3,50+2,10+395,67+5,88 </t>
    </r>
    <r>
      <rPr>
        <b/>
        <sz val="12"/>
        <rFont val="Arial"/>
        <family val="2"/>
      </rPr>
      <t xml:space="preserve">=  1.611,57m                               Travessão: 
</t>
    </r>
    <r>
      <rPr>
        <sz val="12"/>
        <rFont val="Arial"/>
        <family val="2"/>
      </rPr>
      <t xml:space="preserve">14,50 = </t>
    </r>
    <r>
      <rPr>
        <b/>
        <sz val="12"/>
        <rFont val="Arial"/>
        <family val="2"/>
      </rPr>
      <t>14,50m</t>
    </r>
  </si>
  <si>
    <r>
      <t xml:space="preserve">Travessão:    
</t>
    </r>
    <r>
      <rPr>
        <sz val="12"/>
        <rFont val="Arial"/>
        <family val="2"/>
      </rPr>
      <t xml:space="preserve">8,00+8,00+8,00+52,58+8,00+36,27+8,00+8,00+26,60 </t>
    </r>
    <r>
      <rPr>
        <b/>
        <sz val="12"/>
        <rFont val="Arial"/>
        <family val="2"/>
      </rPr>
      <t>= 163,45m</t>
    </r>
  </si>
  <si>
    <t>Parte - Rua Projetada 19</t>
  </si>
  <si>
    <r>
      <t xml:space="preserve">Travessão: 
</t>
    </r>
    <r>
      <rPr>
        <sz val="12"/>
        <rFont val="Arial"/>
        <family val="2"/>
      </rPr>
      <t xml:space="preserve">8,00+8,00 </t>
    </r>
    <r>
      <rPr>
        <b/>
        <sz val="12"/>
        <rFont val="Arial"/>
        <family val="2"/>
      </rPr>
      <t>= 16,00m</t>
    </r>
  </si>
  <si>
    <r>
      <t xml:space="preserve">Travessão: 
</t>
    </r>
    <r>
      <rPr>
        <sz val="12"/>
        <rFont val="Arial"/>
        <family val="2"/>
      </rPr>
      <t xml:space="preserve">18,86+20,16 </t>
    </r>
    <r>
      <rPr>
        <b/>
        <sz val="12"/>
        <rFont val="Arial"/>
        <family val="2"/>
      </rPr>
      <t>= 39,02m</t>
    </r>
  </si>
  <si>
    <r>
      <t xml:space="preserve">Travessão: 
</t>
    </r>
    <r>
      <rPr>
        <sz val="12"/>
        <rFont val="Arial"/>
        <family val="2"/>
      </rPr>
      <t>8,00+8,00+18,06</t>
    </r>
    <r>
      <rPr>
        <b/>
        <sz val="12"/>
        <rFont val="Arial"/>
        <family val="2"/>
      </rPr>
      <t xml:space="preserve"> = 34,06m</t>
    </r>
  </si>
  <si>
    <t>Rua Projetada 22</t>
  </si>
  <si>
    <r>
      <t xml:space="preserve">Travessão: 
</t>
    </r>
    <r>
      <rPr>
        <sz val="12"/>
        <rFont val="Arial"/>
        <family val="2"/>
      </rPr>
      <t xml:space="preserve">19,35+8,00 </t>
    </r>
    <r>
      <rPr>
        <b/>
        <sz val="12"/>
        <rFont val="Arial"/>
        <family val="2"/>
      </rPr>
      <t>= 27,35m</t>
    </r>
  </si>
  <si>
    <t>Rua Projetada 23</t>
  </si>
  <si>
    <r>
      <rPr>
        <b/>
        <sz val="12"/>
        <rFont val="Arial"/>
        <family val="2"/>
      </rPr>
      <t xml:space="preserve">Meio Fio: 
</t>
    </r>
    <r>
      <rPr>
        <sz val="12"/>
        <rFont val="Arial"/>
        <family val="2"/>
      </rPr>
      <t xml:space="preserve">20,84+122,60+122,65 </t>
    </r>
    <r>
      <rPr>
        <b/>
        <sz val="12"/>
        <rFont val="Arial"/>
        <family val="2"/>
      </rPr>
      <t xml:space="preserve">=  266,09m                               Travessão: 
</t>
    </r>
    <r>
      <rPr>
        <sz val="12"/>
        <rFont val="Arial"/>
        <family val="2"/>
      </rPr>
      <t xml:space="preserve">13,46+8,00+8,10 </t>
    </r>
    <r>
      <rPr>
        <b/>
        <sz val="12"/>
        <rFont val="Arial"/>
        <family val="2"/>
      </rPr>
      <t>= 29,56m</t>
    </r>
  </si>
  <si>
    <r>
      <t xml:space="preserve">Meio Fio:       
</t>
    </r>
    <r>
      <rPr>
        <sz val="12"/>
        <rFont val="Arial"/>
        <family val="2"/>
      </rPr>
      <t xml:space="preserve">71,62+183,02+95,52+66,06+63,30 
</t>
    </r>
    <r>
      <rPr>
        <b/>
        <sz val="12"/>
        <rFont val="Arial"/>
        <family val="2"/>
      </rPr>
      <t xml:space="preserve"> =479,52m                                                Travessão:                                               </t>
    </r>
    <r>
      <rPr>
        <sz val="12"/>
        <rFont val="Arial"/>
        <family val="2"/>
      </rPr>
      <t xml:space="preserve">16,00+15,97+13,88+8,00+8,00+8,00+7,00+7,00+7,00+12,46 </t>
    </r>
    <r>
      <rPr>
        <b/>
        <sz val="12"/>
        <rFont val="Arial"/>
        <family val="2"/>
      </rPr>
      <t xml:space="preserve">= 103,31m                                         </t>
    </r>
  </si>
  <si>
    <t>Parte Rua Projetada 01</t>
  </si>
  <si>
    <t>A1 = 396,65 x 4,60 = 1.824,59m²</t>
  </si>
  <si>
    <t>A2 = 394,15 x 4,60 = 1.813,09m²</t>
  </si>
  <si>
    <t>A3 = 19,15 x 10,20 = 195,33m²</t>
  </si>
  <si>
    <t>TOTAL = 3.833,01m²</t>
  </si>
  <si>
    <t>Parte Rua Projetada 09</t>
  </si>
  <si>
    <t>A1 = 394,75 x 7,20 = 2.842,20m²</t>
  </si>
  <si>
    <t>A2 = 15,35m²</t>
  </si>
  <si>
    <t>A3 = 68,85m²</t>
  </si>
  <si>
    <t>TOTAL = 2.926,40m²</t>
  </si>
  <si>
    <t>A1 = 93,52 x 11,20 = 1.047,42m²</t>
  </si>
  <si>
    <t>A2 = ((14,00 + 11,20) / 2) x 26,25  
 = 330,75m²</t>
  </si>
  <si>
    <t>A3 = 1.354,83m²</t>
  </si>
  <si>
    <t>A4 = ((11,71 + 13,09) / 2) x 25,58  
 = 317,19m²</t>
  </si>
  <si>
    <t>A5 = 934,73m²</t>
  </si>
  <si>
    <t>A6 = 102,97 x 7,20 = 741,38m²</t>
  </si>
  <si>
    <t>A7 = 304,66m²</t>
  </si>
  <si>
    <t>A8 = 58,39 x 6,20 = 362,02m²</t>
  </si>
  <si>
    <t>A9 = 35,34m²</t>
  </si>
  <si>
    <t>TOTAL = 5.428,32m²</t>
  </si>
  <si>
    <t>Parte Rua Projetada 19</t>
  </si>
  <si>
    <t>A1 = 48,32 x 7,20 = 347,90m²</t>
  </si>
  <si>
    <t>A2 = 99,20m²</t>
  </si>
  <si>
    <t>A3 = 64,19m²</t>
  </si>
  <si>
    <t>A4 = 24,05m²</t>
  </si>
  <si>
    <t>A6 = 17,15m²</t>
  </si>
  <si>
    <t>A5 = (45,04 x 22,15) / 2 = 498,82m²</t>
  </si>
  <si>
    <t>A6 = 16,95m²</t>
  </si>
  <si>
    <t>TOTAL = 1.051,11m²</t>
  </si>
  <si>
    <t>A1 = 147,83 x 7,20 = 1.064,38m²</t>
  </si>
  <si>
    <t>A2 = 11,00 x 10,65 = 117,15m²</t>
  </si>
  <si>
    <t>A3 = 37,66m²</t>
  </si>
  <si>
    <t>A4 = 19,84m²</t>
  </si>
  <si>
    <t>A5 = 5,74m²</t>
  </si>
  <si>
    <t>A7 = (11,55 x 17,74) / 2 = 102,45m²</t>
  </si>
  <si>
    <t>A8 = 21,32m²</t>
  </si>
  <si>
    <t>TOTAL = 1.385,69m²</t>
  </si>
  <si>
    <t>A1 = 155,13 x 7,20 = 1.116,94m²</t>
  </si>
  <si>
    <t>A2 = 49,75m²</t>
  </si>
  <si>
    <t>A3 = 69,18m²</t>
  </si>
  <si>
    <t>TOTAL = 1.235,87m²</t>
  </si>
  <si>
    <t>A1 = 161,54 x 7,20 = 1.163,09m²</t>
  </si>
  <si>
    <t>A2 = 32,52m²</t>
  </si>
  <si>
    <t>A3 = 35,41m²</t>
  </si>
  <si>
    <t>A4 = 150,62m²</t>
  </si>
  <si>
    <t>TOTAL = 1.381,64m²</t>
  </si>
  <si>
    <t>A1 = 105,36 x 7,20 = 758,59m²</t>
  </si>
  <si>
    <t>A2 = 157,68m²</t>
  </si>
  <si>
    <t>A3 = 251,63m²</t>
  </si>
  <si>
    <t>TOTAL = 1.167,90m²</t>
  </si>
  <si>
    <r>
      <t xml:space="preserve">415,78+395,67+5,88 </t>
    </r>
    <r>
      <rPr>
        <b/>
        <sz val="12"/>
        <rFont val="Arial"/>
        <family val="2"/>
      </rPr>
      <t xml:space="preserve">= 817,33m                </t>
    </r>
  </si>
  <si>
    <r>
      <t xml:space="preserve">145,57+387,62+11,81+155,80 </t>
    </r>
    <r>
      <rPr>
        <b/>
        <sz val="12"/>
        <rFont val="Arial"/>
        <family val="2"/>
      </rPr>
      <t xml:space="preserve">= 700,80m                </t>
    </r>
  </si>
  <si>
    <r>
      <t xml:space="preserve">14,45+54,10+171,24+18,56+89,67+55,06+183,02+95,52+66,06+63,30 </t>
    </r>
    <r>
      <rPr>
        <b/>
        <sz val="12"/>
        <rFont val="Arial"/>
        <family val="2"/>
      </rPr>
      <t xml:space="preserve">= 810,98m                </t>
    </r>
  </si>
  <si>
    <r>
      <t xml:space="preserve">35,84+22,70+52,51+21,60 </t>
    </r>
    <r>
      <rPr>
        <b/>
        <sz val="12"/>
        <rFont val="Arial"/>
        <family val="2"/>
      </rPr>
      <t xml:space="preserve">= 132,65m                </t>
    </r>
  </si>
  <si>
    <r>
      <t xml:space="preserve">183,48+182,66 </t>
    </r>
    <r>
      <rPr>
        <b/>
        <sz val="12"/>
        <rFont val="Arial"/>
        <family val="2"/>
      </rPr>
      <t xml:space="preserve">= 366,14m                </t>
    </r>
  </si>
  <si>
    <r>
      <t xml:space="preserve">169,47+148,83 </t>
    </r>
    <r>
      <rPr>
        <b/>
        <sz val="12"/>
        <rFont val="Arial"/>
        <family val="2"/>
      </rPr>
      <t xml:space="preserve">= 318,30m                </t>
    </r>
  </si>
  <si>
    <r>
      <t xml:space="preserve">171,16+139,78 </t>
    </r>
    <r>
      <rPr>
        <b/>
        <sz val="12"/>
        <rFont val="Arial"/>
        <family val="2"/>
      </rPr>
      <t xml:space="preserve">= 310,94m                </t>
    </r>
  </si>
  <si>
    <r>
      <t xml:space="preserve">20,84+122,60+122,65 </t>
    </r>
    <r>
      <rPr>
        <b/>
        <sz val="12"/>
        <rFont val="Arial"/>
        <family val="2"/>
      </rPr>
      <t xml:space="preserve">= 266,09m                </t>
    </r>
  </si>
  <si>
    <t>TOTAL = 3.723,23m</t>
  </si>
  <si>
    <r>
      <t xml:space="preserve">415,78m x 1,50 = 623,67m²
395,67+5,88 = 401,55m x 2,00 = 803,10m²                                                </t>
    </r>
    <r>
      <rPr>
        <b/>
        <sz val="12"/>
        <rFont val="Arial"/>
        <family val="2"/>
      </rPr>
      <t xml:space="preserve">= 1.426,77m²              </t>
    </r>
  </si>
  <si>
    <r>
      <t>387,62+145,57+11,81+155,80 = 700,80m x 2,00</t>
    </r>
    <r>
      <rPr>
        <b/>
        <sz val="12"/>
        <rFont val="Arial"/>
        <family val="2"/>
      </rPr>
      <t xml:space="preserve"> = 1.401,60m²              </t>
    </r>
  </si>
  <si>
    <r>
      <t>14,45+54,10+171,24+59,70+18,56+89,67+55,06+183,02+95,52+66,06+63,30 = 870,68m x 2,00</t>
    </r>
    <r>
      <rPr>
        <b/>
        <sz val="12"/>
        <rFont val="Arial"/>
        <family val="2"/>
      </rPr>
      <t xml:space="preserve"> = 1.741,36m²              </t>
    </r>
  </si>
  <si>
    <r>
      <t>35,84+22,70+52,51+21,60 = 132,65m x 2,00</t>
    </r>
    <r>
      <rPr>
        <b/>
        <sz val="12"/>
        <rFont val="Arial"/>
        <family val="2"/>
      </rPr>
      <t xml:space="preserve"> = 265,30m²              </t>
    </r>
  </si>
  <si>
    <r>
      <t>183,48+182,66 = 366,14m x 2,00</t>
    </r>
    <r>
      <rPr>
        <b/>
        <sz val="12"/>
        <rFont val="Arial"/>
        <family val="2"/>
      </rPr>
      <t xml:space="preserve"> = 732,28m²              </t>
    </r>
  </si>
  <si>
    <r>
      <t>169,47+148,83 = 318,30m x 2,00</t>
    </r>
    <r>
      <rPr>
        <b/>
        <sz val="12"/>
        <rFont val="Arial"/>
        <family val="2"/>
      </rPr>
      <t xml:space="preserve"> = 636,60m²              </t>
    </r>
  </si>
  <si>
    <r>
      <t>139,78+171,16 = 310,94m x 2,00</t>
    </r>
    <r>
      <rPr>
        <b/>
        <sz val="12"/>
        <rFont val="Arial"/>
        <family val="2"/>
      </rPr>
      <t xml:space="preserve"> = 621,88m²              </t>
    </r>
  </si>
  <si>
    <r>
      <t>122,60+122,65 = 245,25m x 2,00</t>
    </r>
    <r>
      <rPr>
        <b/>
        <sz val="12"/>
        <rFont val="Arial"/>
        <family val="2"/>
      </rPr>
      <t xml:space="preserve"> = 490,50m²              </t>
    </r>
  </si>
  <si>
    <t>T-42 = 27,19m</t>
  </si>
  <si>
    <t>T-50 = 57,53m</t>
  </si>
  <si>
    <r>
      <t xml:space="preserve">T-46 = 43,20m
T-47 = 39,57m
T-48 = 82,40m
T-49 = 77,05m
T-51 = 18,00m
</t>
    </r>
    <r>
      <rPr>
        <b/>
        <sz val="12"/>
        <rFont val="Arial"/>
        <family val="2"/>
      </rPr>
      <t>TOTAL = 260,22m</t>
    </r>
  </si>
  <si>
    <t>T-43 = 66,76m</t>
  </si>
  <si>
    <t>Q1 = 1x9,00m = 9,00m - PV2</t>
  </si>
  <si>
    <t>Q2 = 1x8,00m = 8,00m - PV2</t>
  </si>
  <si>
    <t>Q3 = 1x14,00m = 14,00m - PV5</t>
  </si>
  <si>
    <t>Q4 = 1x7,00m = 7,00m - PV5</t>
  </si>
  <si>
    <t>Q5 = 1x6,00m = 6,00m - PV5</t>
  </si>
  <si>
    <t>Q7 = 1x7,00m = 7,00m - PV5</t>
  </si>
  <si>
    <t>Q8 = 1x3,00m = 3,00m - PV5</t>
  </si>
  <si>
    <t>Q9 = 2x6,00m = 12,00m - PV5</t>
  </si>
  <si>
    <t>Q10 = 1x4,00m = 4,00m - PV5</t>
  </si>
  <si>
    <t>Q11 = 2x4,00m = 8,00m - PV2</t>
  </si>
  <si>
    <t>Q12 = 1x5,00m = 5,00m - PV12</t>
  </si>
  <si>
    <t>Q13 = 1x4,00m = 4,00m - PV12</t>
  </si>
  <si>
    <t>TOTAL = 44,00m</t>
  </si>
  <si>
    <t>TOTAL = 34,00m</t>
  </si>
  <si>
    <t>TOTAL = 17,00m</t>
  </si>
  <si>
    <t>PV5 = 2,00und</t>
  </si>
  <si>
    <t>PV12 = 1,00und</t>
  </si>
  <si>
    <t>PV2 = 2,00und</t>
  </si>
  <si>
    <t>PV5 = 3,00und</t>
  </si>
  <si>
    <t>PV5 = 5,00und</t>
  </si>
  <si>
    <t>PV12 = 2,00und</t>
  </si>
  <si>
    <t>Dissipador de energia aplicado a saída de bueiro/descida d'agua de aterro (DEB-01)</t>
  </si>
  <si>
    <t>Descida d'água concreto simples (degraus) c/ caiação (DSA-03) degrau</t>
  </si>
  <si>
    <t>40680 / DER</t>
  </si>
  <si>
    <t>Dissipador de energia aplicado a saída de bueiro/descida d'água de aterro (DEB-03)</t>
  </si>
  <si>
    <t>40734 / DER</t>
  </si>
  <si>
    <t>PV2 = 10,00m</t>
  </si>
  <si>
    <t>Parte - Rua Projetada 16</t>
  </si>
  <si>
    <r>
      <t xml:space="preserve">Trecho 1-13 ao 1-19 = 
57,53+58,14+58,14+65,62+58,42+61,63+50,89  </t>
    </r>
    <r>
      <rPr>
        <b/>
        <sz val="12"/>
        <rFont val="Arial"/>
        <family val="2"/>
      </rPr>
      <t>= 410,37m</t>
    </r>
  </si>
  <si>
    <r>
      <t xml:space="preserve">Trecho 1-7 ao 1-12 = 
43,20+39,57+41,20+41,20+41,85+35,20   </t>
    </r>
    <r>
      <rPr>
        <b/>
        <sz val="12"/>
        <rFont val="Arial"/>
        <family val="2"/>
      </rPr>
      <t>= 242,22m</t>
    </r>
  </si>
  <si>
    <r>
      <t xml:space="preserve">Trecho 6-1 ao 6-6 = 
34,71+34,71+23,29+25,26+27,19+66,76   </t>
    </r>
    <r>
      <rPr>
        <b/>
        <sz val="12"/>
        <rFont val="Arial"/>
        <family val="2"/>
      </rPr>
      <t>= 211,92m</t>
    </r>
  </si>
  <si>
    <r>
      <t xml:space="preserve">Trecho 7-1 ao 7-4 = 
27,30+26,49+41,92+45,67                  </t>
    </r>
    <r>
      <rPr>
        <b/>
        <sz val="12"/>
        <rFont val="Arial"/>
        <family val="2"/>
      </rPr>
      <t>= 141,38m</t>
    </r>
  </si>
  <si>
    <t>Prof. média = 1,50+0,10 = 1,60m</t>
  </si>
  <si>
    <t>Comprimento rede = 1.005,89m</t>
  </si>
  <si>
    <r>
      <t xml:space="preserve">V1 = 1,60x0,60x1.005,89 = </t>
    </r>
    <r>
      <rPr>
        <b/>
        <sz val="12"/>
        <rFont val="Arial"/>
        <family val="2"/>
      </rPr>
      <t>965,65m³</t>
    </r>
  </si>
  <si>
    <r>
      <t xml:space="preserve">V1 = 0,10x0,60x1.005,89 = </t>
    </r>
    <r>
      <rPr>
        <b/>
        <sz val="12"/>
        <rFont val="Arial"/>
        <family val="2"/>
      </rPr>
      <t>60,35m³</t>
    </r>
  </si>
  <si>
    <t>PV - 13/14/15/16/17/18/19 = 7,00und</t>
  </si>
  <si>
    <t>PV - 8/9/10/11/12 = 5,00und</t>
  </si>
  <si>
    <t>PV - 28/29/30/31/32 = 5,00und</t>
  </si>
  <si>
    <t>PV - 33/34/35/36 = 4,00und</t>
  </si>
  <si>
    <t>Q1 = 29,00und</t>
  </si>
  <si>
    <t>Q2 = 8,00und</t>
  </si>
  <si>
    <t>Q3 = 18,00und</t>
  </si>
  <si>
    <t>Q4 =19,00und</t>
  </si>
  <si>
    <t>C1 = 29,00und x 2,00m = 58,00m</t>
  </si>
  <si>
    <t>C2 = 8,00und x 2,00m = 16,00m</t>
  </si>
  <si>
    <t>C3 = 18,00und x 2,00m = 36,00m</t>
  </si>
  <si>
    <t>C4 = 19,00und x 2,00m = 38,00m</t>
  </si>
  <si>
    <t>Quantidade de caixas = 74,00</t>
  </si>
  <si>
    <r>
      <t xml:space="preserve">V1 = 1,15x1,00x1,00x74 = </t>
    </r>
    <r>
      <rPr>
        <b/>
        <sz val="12"/>
        <rFont val="Arial"/>
        <family val="2"/>
      </rPr>
      <t>85,10m³</t>
    </r>
  </si>
  <si>
    <r>
      <t xml:space="preserve">V1 = (1,15x0,60) - (3,1416x0,075²) x 1.005,89 = </t>
    </r>
    <r>
      <rPr>
        <b/>
        <sz val="12"/>
        <rFont val="Arial"/>
        <family val="2"/>
      </rPr>
      <t>676,29m³</t>
    </r>
  </si>
  <si>
    <r>
      <t xml:space="preserve">V2 = (1,00x1,00) -(3,1416x0,30²) x 1,15 x 139 = </t>
    </r>
    <r>
      <rPr>
        <b/>
        <sz val="12"/>
        <rFont val="Arial"/>
        <family val="2"/>
      </rPr>
      <t>61,04m³</t>
    </r>
  </si>
  <si>
    <r>
      <t xml:space="preserve">T31/32/33/34/35/36
=57,53+58,14+58,14+65,62+120,05+50,89 = </t>
    </r>
    <r>
      <rPr>
        <b/>
        <sz val="12"/>
        <rFont val="Arial"/>
        <family val="2"/>
      </rPr>
      <t>410,37m</t>
    </r>
  </si>
  <si>
    <r>
      <t xml:space="preserve">T22/23/28/29/30
=43,20+39,57+82,40+41,85+35,20
 = </t>
    </r>
    <r>
      <rPr>
        <b/>
        <sz val="12"/>
        <rFont val="Arial"/>
        <family val="2"/>
      </rPr>
      <t>242,22m</t>
    </r>
  </si>
  <si>
    <r>
      <t xml:space="preserve">T5/6/7/15/16
=69,42+23,29+66,76+27,19 
= </t>
    </r>
    <r>
      <rPr>
        <b/>
        <sz val="12"/>
        <rFont val="Arial"/>
        <family val="2"/>
      </rPr>
      <t>211,92m</t>
    </r>
  </si>
  <si>
    <r>
      <t xml:space="preserve">T24/25/26/27
=45,67+41,92+26,49+27,30
= </t>
    </r>
    <r>
      <rPr>
        <b/>
        <sz val="12"/>
        <rFont val="Arial"/>
        <family val="2"/>
      </rPr>
      <t>141,38m</t>
    </r>
  </si>
  <si>
    <t>Comprimento rede = 148,00m</t>
  </si>
  <si>
    <t>V1 = 0,40x0,60 x 148,00 = 35,52m³</t>
  </si>
  <si>
    <t>Rede ø 0,20m</t>
  </si>
  <si>
    <t>Área tubo 10mm = 3,1416x0,10²</t>
  </si>
  <si>
    <t>V1 = (0,40x0,60) - (3,1416x0,10²) x 148,00 = 30,87m³</t>
  </si>
  <si>
    <t>1º    MÊS</t>
  </si>
  <si>
    <t>2º    MÊS</t>
  </si>
  <si>
    <t>3º    MÊS</t>
  </si>
  <si>
    <t>4º              MÊS</t>
  </si>
  <si>
    <t>6º              MÊS</t>
  </si>
  <si>
    <t>7º                     MÊS</t>
  </si>
  <si>
    <t>8º               MÊS</t>
  </si>
  <si>
    <t>9º                    MÊS</t>
  </si>
  <si>
    <t>10º              MÊS</t>
  </si>
  <si>
    <t>11º               MÊS</t>
  </si>
  <si>
    <t>12º            MÊS</t>
  </si>
  <si>
    <t>13º                MÊS</t>
  </si>
  <si>
    <t>14º                 MÊS</t>
  </si>
  <si>
    <t>15º                 MÊS</t>
  </si>
  <si>
    <t>PROCESSO        LICITATÓRIO</t>
  </si>
  <si>
    <t>5º               MÊS</t>
  </si>
  <si>
    <t xml:space="preserve">TUBO DE PVC PARA REDE COLETORA DE ESGOTO DE PAREDE MACIÇA, DN 150 MM, JUNTA ELÁSTICA - FORNECIMENTO E ASSENTAMENTO. AF_01/2021 </t>
  </si>
  <si>
    <t>(COMPOSIÇÃO REPRESENTATIVA) POÇO DE VISITA CIRCULAR PARA ESGOTO, EM CONCRETO PRÉ-MOLDADO, DIÂMETRO INTERNO = 1,0 M, PROFUNDIDADE ATÉ 1,50 M, INCLUINDO TAMPÃO DE FERRO FUNDIDO, DIÂMETRO DE 60 CM. AF_04/2018</t>
  </si>
  <si>
    <t>SINAPI 98420</t>
  </si>
  <si>
    <t>CAIXA ENTERRADA HIDRÁULICA RETANGULAR, EM CONCRETO PRÉ-MOLDADO, DIMENSÕES INTERNAS: 0,4X0,4X0,4 M. AF_12/2020</t>
  </si>
  <si>
    <t>SINAPI 97896</t>
  </si>
  <si>
    <t>Tampão F.F.A.P. com 100 kg, fornecimento, assentamento e transporte</t>
  </si>
  <si>
    <t>DER 40558</t>
  </si>
  <si>
    <t>SINAPI 90695</t>
  </si>
  <si>
    <t>Q2 = 1,00und</t>
  </si>
  <si>
    <t>Barracão em chapa compensada 12mm e pont. 8x8cm, piso cimentado e cobertura de telhas fibrocimento 6mm, incl. ponto de luz - (Escritório).</t>
  </si>
  <si>
    <t>Aluguel de container para almoxarifado</t>
  </si>
  <si>
    <t>41579/DER</t>
  </si>
  <si>
    <t>EXECUÇÃO DE REFEITÓRIO EM CANTEIRO DE OBRA EM CHAPA DE MADEIRA COMPENSADA, NÃO INCLUSO MOBILIÁRIO E EQUIPAMENTOS. AF_02/2016</t>
  </si>
  <si>
    <t>SINAPI 93210</t>
  </si>
  <si>
    <t>1.9</t>
  </si>
  <si>
    <t>1.10</t>
  </si>
  <si>
    <t>3.5</t>
  </si>
  <si>
    <t>40809/DER</t>
  </si>
  <si>
    <t>Base de solo brita, 50% em peso, inclusive fornecimento, exclusive transporte da brita</t>
  </si>
  <si>
    <t>Área a ser Pavimentada</t>
  </si>
  <si>
    <t>60024/DER</t>
  </si>
  <si>
    <t>3.6</t>
  </si>
  <si>
    <t>t</t>
  </si>
  <si>
    <t>Quantidade de materiais, em toneladas</t>
  </si>
  <si>
    <r>
      <t xml:space="preserve">18.409,94m² x 0,07 = </t>
    </r>
    <r>
      <rPr>
        <b/>
        <sz val="12"/>
        <rFont val="Arial"/>
        <family val="2"/>
      </rPr>
      <t xml:space="preserve">1.288,70m³ </t>
    </r>
    <r>
      <rPr>
        <sz val="12"/>
        <rFont val="Arial"/>
        <family val="2"/>
      </rPr>
      <t xml:space="preserve">                                               </t>
    </r>
    <r>
      <rPr>
        <b/>
        <sz val="12"/>
        <rFont val="Arial"/>
        <family val="2"/>
      </rPr>
      <t xml:space="preserve">          </t>
    </r>
  </si>
  <si>
    <r>
      <t xml:space="preserve">1.288,70m³ x (1.800 kg/m³) = </t>
    </r>
    <r>
      <rPr>
        <b/>
        <sz val="12"/>
        <rFont val="Arial"/>
        <family val="2"/>
      </rPr>
      <t>2.319,66t</t>
    </r>
    <r>
      <rPr>
        <sz val="12"/>
        <rFont val="Arial"/>
        <family val="2"/>
      </rPr>
      <t xml:space="preserve">                                                </t>
    </r>
    <r>
      <rPr>
        <b/>
        <sz val="12"/>
        <rFont val="Arial"/>
        <family val="2"/>
      </rPr>
      <t xml:space="preserve">      </t>
    </r>
  </si>
  <si>
    <r>
      <t xml:space="preserve">Q = 1,00+1,00 = </t>
    </r>
    <r>
      <rPr>
        <b/>
        <sz val="12"/>
        <rFont val="Arial"/>
        <family val="2"/>
      </rPr>
      <t>2,00und</t>
    </r>
  </si>
  <si>
    <t>ESCAVAÇÃO MECANIZADA DE VALA COM PROF. ATÉ 1,5 M (MÉDIA ENTRE MONTANTE E JUSANTE/UMA COMPOSIÇÃO POR TRECHO), COM ESCAVADEIRA HIDRÁULICA (0,8M3/111 HP), LARG. DE 1,5 M A 2,5 M, EM SOLO DE 2A CATEGORIA, EM LOCAIS COM ALTO NÍVEL DE INTERFERÊNCIA. AF_02/2021</t>
  </si>
  <si>
    <t>SINAPI 102307</t>
  </si>
  <si>
    <t>ESCAVAÇÃO MANUAL DE VALA COM PROFUNDIDADE MENOR OU IGUAL A 1,30 M. AF_02/2021</t>
  </si>
  <si>
    <t>Águia Branca – ES, Maio de 2021</t>
  </si>
  <si>
    <t>Transporte de materiais para DMT acima de 15KM (Caminhão basculante) - (0,221XP + 0,235XR + 8,491) , sendo: XP= 101KM; XR= 0KM</t>
  </si>
  <si>
    <t>2.4</t>
  </si>
  <si>
    <t>2.5</t>
  </si>
  <si>
    <t>2.6</t>
  </si>
  <si>
    <t>3.7</t>
  </si>
  <si>
    <t>3.8</t>
  </si>
  <si>
    <t>7.2</t>
  </si>
  <si>
    <t>7.1.1</t>
  </si>
  <si>
    <t>10.1.1</t>
  </si>
  <si>
    <t>10.1.2</t>
  </si>
  <si>
    <t>10.1.3</t>
  </si>
  <si>
    <t>INDICES DE REAJUSTAMENTO ADOTADO</t>
  </si>
  <si>
    <t>DER-ES / JUNHO 2020</t>
  </si>
  <si>
    <t>INDICE ADOTADO</t>
  </si>
  <si>
    <t>TABELA</t>
  </si>
  <si>
    <t>REFERÊCIA - INDICE DE OBRA RODOVIÁRIA</t>
  </si>
  <si>
    <t>INCC APRESENTADO</t>
  </si>
  <si>
    <t>PAVIMENTOS CONCRETO CIMENTO PORTLAND</t>
  </si>
  <si>
    <t>PERCENTUAL
ADOTADO</t>
  </si>
  <si>
    <t>CESAN / JUNHO 2018</t>
  </si>
  <si>
    <t>SISTEMA DE DISTRIBUIÇÃO DE ÁGUA</t>
  </si>
  <si>
    <r>
      <t xml:space="preserve">DNIT - JULHO/20 - MARÇO/21
R=310,489-276,833/276,833
</t>
    </r>
    <r>
      <rPr>
        <b/>
        <sz val="12"/>
        <rFont val="Arial"/>
        <family val="2"/>
      </rPr>
      <t>R=0,1215</t>
    </r>
  </si>
  <si>
    <r>
      <t xml:space="preserve">DNIT - JULHO/20 - MARÇO/21
R=357,046-320,281/320,281
</t>
    </r>
    <r>
      <rPr>
        <b/>
        <sz val="12"/>
        <rFont val="Arial"/>
        <family val="2"/>
      </rPr>
      <t>R=0,1148</t>
    </r>
  </si>
  <si>
    <r>
      <t xml:space="preserve">REFERÊNCIAS : 
1 - DER-ES - Departamento de Estradas de Rodagem do Estado do Espírito Santo - Tabela Referencial JUNHO de 2020, </t>
    </r>
    <r>
      <rPr>
        <b/>
        <sz val="12"/>
        <color indexed="10"/>
        <rFont val="Arial"/>
        <family val="2"/>
      </rPr>
      <t>Sem Desoneração;</t>
    </r>
    <r>
      <rPr>
        <b/>
        <sz val="12"/>
        <rFont val="Arial"/>
        <family val="2"/>
      </rPr>
      <t xml:space="preserve">
2 - SINAPI - Sistema Nacional de Pesquisa de Custos e Índice da Construção Civil - MARÇO de 2021, </t>
    </r>
    <r>
      <rPr>
        <b/>
        <sz val="12"/>
        <color indexed="10"/>
        <rFont val="Arial"/>
        <family val="2"/>
      </rPr>
      <t>Sem Desoneração;</t>
    </r>
    <r>
      <rPr>
        <b/>
        <sz val="12"/>
        <rFont val="Arial"/>
        <family val="2"/>
      </rPr>
      <t xml:space="preserve">
3 - Tabela de custos CESAN/ES JUNHO/2018;
4 - BDI Adotado = 23,32%</t>
    </r>
  </si>
  <si>
    <t>DATA BASE: MARÇO/2021;    CESAN (Atualizado Através do INCC) - DER (Atualizado Dnit / INCCC)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</si>
</sst>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[$€-2]\ #,##0.00_);[Red]\([$€-2]\ #,##0.00\)"/>
    <numFmt numFmtId="185" formatCode="00000"/>
    <numFmt numFmtId="186" formatCode="#,##0.000"/>
    <numFmt numFmtId="187" formatCode="&quot;Ativado&quot;;&quot;Ativado&quot;;&quot;Desativado&quot;"/>
    <numFmt numFmtId="188" formatCode="&quot;R$&quot;\ #,##0.00"/>
    <numFmt numFmtId="189" formatCode="_-[$R$-416]\ * #,##0.00_-;\-[$R$-416]\ * #,##0.00_-;_-[$R$-416]\ * &quot;-&quot;??_-;_-@_-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42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justify"/>
    </xf>
    <xf numFmtId="4" fontId="5" fillId="0" borderId="0" xfId="0" applyNumberFormat="1" applyFont="1" applyAlignment="1">
      <alignment horizontal="justify" vertical="justify"/>
    </xf>
    <xf numFmtId="4" fontId="5" fillId="0" borderId="0" xfId="0" applyNumberFormat="1" applyFont="1" applyAlignment="1">
      <alignment horizontal="justify"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justify"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vertical="justify" wrapText="1"/>
    </xf>
    <xf numFmtId="4" fontId="5" fillId="0" borderId="0" xfId="0" applyNumberFormat="1" applyFont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justify"/>
    </xf>
    <xf numFmtId="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justify" wrapText="1"/>
    </xf>
    <xf numFmtId="0" fontId="4" fillId="36" borderId="10" xfId="52" applyFont="1" applyFill="1" applyBorder="1" applyAlignment="1">
      <alignment horizontal="center" vertical="center"/>
      <protection/>
    </xf>
    <xf numFmtId="4" fontId="5" fillId="35" borderId="10" xfId="66" applyNumberFormat="1" applyFont="1" applyFill="1" applyBorder="1" applyAlignment="1">
      <alignment horizontal="left" vertical="center"/>
    </xf>
    <xf numFmtId="4" fontId="5" fillId="35" borderId="10" xfId="52" applyNumberFormat="1" applyFont="1" applyFill="1" applyBorder="1" applyAlignment="1">
      <alignment horizontal="left" vertical="center" wrapText="1"/>
      <protection/>
    </xf>
    <xf numFmtId="4" fontId="5" fillId="0" borderId="0" xfId="0" applyNumberFormat="1" applyFont="1" applyBorder="1" applyAlignment="1">
      <alignment horizontal="justify" vertical="center"/>
    </xf>
    <xf numFmtId="49" fontId="5" fillId="0" borderId="0" xfId="0" applyNumberFormat="1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/>
    </xf>
    <xf numFmtId="0" fontId="5" fillId="33" borderId="11" xfId="52" applyFont="1" applyFill="1" applyBorder="1" applyAlignment="1">
      <alignment horizontal="justify" vertical="justify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4" fontId="5" fillId="33" borderId="11" xfId="66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wrapText="1"/>
    </xf>
    <xf numFmtId="4" fontId="5" fillId="35" borderId="10" xfId="66" applyNumberFormat="1" applyFont="1" applyFill="1" applyBorder="1" applyAlignment="1">
      <alignment horizontal="left" vertical="center" wrapText="1"/>
    </xf>
    <xf numFmtId="4" fontId="5" fillId="35" borderId="12" xfId="66" applyNumberFormat="1" applyFont="1" applyFill="1" applyBorder="1" applyAlignment="1">
      <alignment vertical="center" wrapText="1"/>
    </xf>
    <xf numFmtId="4" fontId="5" fillId="35" borderId="12" xfId="66" applyNumberFormat="1" applyFont="1" applyFill="1" applyBorder="1" applyAlignment="1">
      <alignment horizontal="center" vertical="center" wrapText="1"/>
    </xf>
    <xf numFmtId="4" fontId="5" fillId="35" borderId="13" xfId="66" applyNumberFormat="1" applyFont="1" applyFill="1" applyBorder="1" applyAlignment="1">
      <alignment horizontal="left" vertical="center"/>
    </xf>
    <xf numFmtId="4" fontId="5" fillId="35" borderId="12" xfId="0" applyNumberFormat="1" applyFont="1" applyFill="1" applyBorder="1" applyAlignment="1">
      <alignment vertical="center" wrapText="1"/>
    </xf>
    <xf numFmtId="4" fontId="5" fillId="35" borderId="14" xfId="66" applyNumberFormat="1" applyFont="1" applyFill="1" applyBorder="1" applyAlignment="1">
      <alignment horizontal="left" vertical="center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35" borderId="12" xfId="66" applyNumberFormat="1" applyFont="1" applyFill="1" applyBorder="1" applyAlignment="1">
      <alignment horizontal="center" wrapText="1"/>
    </xf>
    <xf numFmtId="4" fontId="5" fillId="35" borderId="13" xfId="66" applyNumberFormat="1" applyFont="1" applyFill="1" applyBorder="1" applyAlignment="1">
      <alignment horizontal="left" vertical="center" wrapText="1"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justify" vertical="justify" wrapText="1"/>
      <protection/>
    </xf>
    <xf numFmtId="49" fontId="5" fillId="35" borderId="10" xfId="66" applyNumberFormat="1" applyFont="1" applyFill="1" applyBorder="1" applyAlignment="1">
      <alignment horizontal="left" vertical="center" wrapText="1"/>
    </xf>
    <xf numFmtId="2" fontId="5" fillId="35" borderId="10" xfId="52" applyNumberFormat="1" applyFont="1" applyFill="1" applyBorder="1" applyAlignment="1">
      <alignment horizontal="justify" vertical="justify" wrapText="1"/>
      <protection/>
    </xf>
    <xf numFmtId="2" fontId="5" fillId="35" borderId="10" xfId="52" applyNumberFormat="1" applyFont="1" applyFill="1" applyBorder="1" applyAlignment="1">
      <alignment horizontal="center" vertical="center"/>
      <protection/>
    </xf>
    <xf numFmtId="4" fontId="5" fillId="35" borderId="12" xfId="66" applyNumberFormat="1" applyFont="1" applyFill="1" applyBorder="1" applyAlignment="1">
      <alignment vertical="center"/>
    </xf>
    <xf numFmtId="4" fontId="5" fillId="35" borderId="15" xfId="66" applyNumberFormat="1" applyFont="1" applyFill="1" applyBorder="1" applyAlignment="1">
      <alignment horizontal="left" vertical="center"/>
    </xf>
    <xf numFmtId="4" fontId="5" fillId="35" borderId="12" xfId="66" applyNumberFormat="1" applyFont="1" applyFill="1" applyBorder="1" applyAlignment="1">
      <alignment horizontal="center" vertical="center"/>
    </xf>
    <xf numFmtId="4" fontId="5" fillId="35" borderId="16" xfId="66" applyNumberFormat="1" applyFont="1" applyFill="1" applyBorder="1" applyAlignment="1">
      <alignment vertical="center"/>
    </xf>
    <xf numFmtId="4" fontId="5" fillId="35" borderId="17" xfId="66" applyNumberFormat="1" applyFont="1" applyFill="1" applyBorder="1" applyAlignment="1">
      <alignment/>
    </xf>
    <xf numFmtId="4" fontId="5" fillId="35" borderId="12" xfId="66" applyNumberFormat="1" applyFont="1" applyFill="1" applyBorder="1" applyAlignment="1">
      <alignment/>
    </xf>
    <xf numFmtId="4" fontId="5" fillId="35" borderId="12" xfId="66" applyNumberFormat="1" applyFont="1" applyFill="1" applyBorder="1" applyAlignment="1">
      <alignment horizontal="center"/>
    </xf>
    <xf numFmtId="4" fontId="4" fillId="35" borderId="10" xfId="52" applyNumberFormat="1" applyFont="1" applyFill="1" applyBorder="1" applyAlignment="1">
      <alignment horizontal="left" vertical="center" wrapText="1"/>
      <protection/>
    </xf>
    <xf numFmtId="4" fontId="5" fillId="35" borderId="10" xfId="52" applyNumberFormat="1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/>
    </xf>
    <xf numFmtId="49" fontId="5" fillId="35" borderId="10" xfId="52" applyNumberFormat="1" applyFont="1" applyFill="1" applyBorder="1" applyAlignment="1">
      <alignment horizontal="justify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5" borderId="10" xfId="66" applyNumberFormat="1" applyFont="1" applyFill="1" applyBorder="1" applyAlignment="1">
      <alignment horizontal="left" vertical="center" wrapText="1"/>
    </xf>
    <xf numFmtId="4" fontId="4" fillId="35" borderId="14" xfId="66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4" fontId="5" fillId="35" borderId="10" xfId="66" applyNumberFormat="1" applyFont="1" applyFill="1" applyBorder="1" applyAlignment="1">
      <alignment horizontal="center" vertical="center"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4" fontId="5" fillId="35" borderId="10" xfId="66" applyNumberFormat="1" applyFont="1" applyFill="1" applyBorder="1" applyAlignment="1">
      <alignment horizontal="center" vertical="center"/>
    </xf>
    <xf numFmtId="0" fontId="5" fillId="35" borderId="17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0" fontId="5" fillId="35" borderId="16" xfId="52" applyFont="1" applyFill="1" applyBorder="1" applyAlignment="1">
      <alignment horizontal="left" vertical="center" wrapText="1"/>
      <protection/>
    </xf>
    <xf numFmtId="4" fontId="5" fillId="35" borderId="12" xfId="66" applyNumberFormat="1" applyFont="1" applyFill="1" applyBorder="1" applyAlignment="1">
      <alignment horizontal="center" vertical="center"/>
    </xf>
    <xf numFmtId="0" fontId="4" fillId="35" borderId="18" xfId="52" applyFont="1" applyFill="1" applyBorder="1" applyAlignment="1">
      <alignment vertical="center" wrapText="1"/>
      <protection/>
    </xf>
    <xf numFmtId="0" fontId="4" fillId="35" borderId="19" xfId="52" applyFont="1" applyFill="1" applyBorder="1" applyAlignment="1">
      <alignment vertical="center" wrapText="1"/>
      <protection/>
    </xf>
    <xf numFmtId="0" fontId="4" fillId="35" borderId="20" xfId="52" applyFont="1" applyFill="1" applyBorder="1" applyAlignment="1">
      <alignment vertical="center" wrapText="1"/>
      <protection/>
    </xf>
    <xf numFmtId="4" fontId="4" fillId="35" borderId="10" xfId="52" applyNumberFormat="1" applyFont="1" applyFill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5" borderId="18" xfId="52" applyFont="1" applyFill="1" applyBorder="1" applyAlignment="1">
      <alignment horizontal="left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vertical="center"/>
    </xf>
    <xf numFmtId="49" fontId="5" fillId="35" borderId="10" xfId="52" applyNumberFormat="1" applyFont="1" applyFill="1" applyBorder="1" applyAlignment="1">
      <alignment horizontal="justify" vertical="justify" wrapText="1"/>
      <protection/>
    </xf>
    <xf numFmtId="49" fontId="5" fillId="35" borderId="10" xfId="52" applyNumberFormat="1" applyFont="1" applyFill="1" applyBorder="1" applyAlignment="1">
      <alignment horizontal="left" vertical="center" wrapText="1"/>
      <protection/>
    </xf>
    <xf numFmtId="49" fontId="5" fillId="35" borderId="10" xfId="52" applyNumberFormat="1" applyFont="1" applyFill="1" applyBorder="1" applyAlignment="1">
      <alignment vertical="center" wrapText="1"/>
      <protection/>
    </xf>
    <xf numFmtId="4" fontId="1" fillId="35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1" fillId="35" borderId="10" xfId="51" applyFont="1" applyFill="1" applyBorder="1" applyAlignment="1">
      <alignment horizontal="left" vertical="center" wrapText="1"/>
      <protection/>
    </xf>
    <xf numFmtId="49" fontId="5" fillId="35" borderId="10" xfId="52" applyNumberFormat="1" applyFont="1" applyFill="1" applyBorder="1" applyAlignment="1">
      <alignment horizontal="left" vertical="top" wrapText="1"/>
      <protection/>
    </xf>
    <xf numFmtId="4" fontId="5" fillId="35" borderId="16" xfId="66" applyNumberFormat="1" applyFont="1" applyFill="1" applyBorder="1" applyAlignment="1">
      <alignment horizontal="left" vertical="center" wrapText="1"/>
    </xf>
    <xf numFmtId="4" fontId="5" fillId="35" borderId="21" xfId="66" applyNumberFormat="1" applyFont="1" applyFill="1" applyBorder="1" applyAlignment="1">
      <alignment horizontal="left" vertical="center"/>
    </xf>
    <xf numFmtId="0" fontId="5" fillId="35" borderId="17" xfId="52" applyFont="1" applyFill="1" applyBorder="1" applyAlignment="1">
      <alignment vertical="center" wrapText="1"/>
      <protection/>
    </xf>
    <xf numFmtId="4" fontId="5" fillId="35" borderId="16" xfId="66" applyNumberFormat="1" applyFont="1" applyFill="1" applyBorder="1" applyAlignment="1">
      <alignment horizontal="left" vertical="center"/>
    </xf>
    <xf numFmtId="4" fontId="4" fillId="35" borderId="16" xfId="52" applyNumberFormat="1" applyFont="1" applyFill="1" applyBorder="1" applyAlignment="1">
      <alignment horizontal="left" vertical="center" wrapText="1"/>
      <protection/>
    </xf>
    <xf numFmtId="4" fontId="5" fillId="35" borderId="16" xfId="52" applyNumberFormat="1" applyFont="1" applyFill="1" applyBorder="1" applyAlignment="1">
      <alignment horizontal="lef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66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 wrapText="1"/>
    </xf>
    <xf numFmtId="4" fontId="4" fillId="35" borderId="12" xfId="66" applyNumberFormat="1" applyFont="1" applyFill="1" applyBorder="1" applyAlignment="1">
      <alignment horizontal="center" wrapText="1"/>
    </xf>
    <xf numFmtId="4" fontId="4" fillId="35" borderId="12" xfId="66" applyNumberFormat="1" applyFont="1" applyFill="1" applyBorder="1" applyAlignment="1">
      <alignment horizontal="center" vertical="center"/>
    </xf>
    <xf numFmtId="4" fontId="4" fillId="35" borderId="12" xfId="66" applyNumberFormat="1" applyFont="1" applyFill="1" applyBorder="1" applyAlignment="1">
      <alignment horizontal="center"/>
    </xf>
    <xf numFmtId="4" fontId="4" fillId="35" borderId="12" xfId="66" applyNumberFormat="1" applyFont="1" applyFill="1" applyBorder="1" applyAlignment="1">
      <alignment horizontal="center" vertical="top"/>
    </xf>
    <xf numFmtId="4" fontId="4" fillId="35" borderId="17" xfId="66" applyNumberFormat="1" applyFont="1" applyFill="1" applyBorder="1" applyAlignment="1">
      <alignment horizontal="center"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7" xfId="52" applyFont="1" applyFill="1" applyBorder="1" applyAlignment="1">
      <alignment horizontal="left" vertical="center" wrapText="1"/>
      <protection/>
    </xf>
    <xf numFmtId="0" fontId="5" fillId="35" borderId="16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0" fontId="5" fillId="35" borderId="16" xfId="52" applyFont="1" applyFill="1" applyBorder="1" applyAlignment="1">
      <alignment horizontal="left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4" fontId="5" fillId="35" borderId="10" xfId="66" applyNumberFormat="1" applyFont="1" applyFill="1" applyBorder="1" applyAlignment="1">
      <alignment horizontal="center" vertical="center"/>
    </xf>
    <xf numFmtId="0" fontId="5" fillId="35" borderId="17" xfId="52" applyFont="1" applyFill="1" applyBorder="1" applyAlignment="1">
      <alignment horizontal="left" vertical="center" wrapText="1"/>
      <protection/>
    </xf>
    <xf numFmtId="4" fontId="4" fillId="35" borderId="12" xfId="66" applyNumberFormat="1" applyFont="1" applyFill="1" applyBorder="1" applyAlignment="1">
      <alignment horizontal="center" vertical="center" wrapText="1"/>
    </xf>
    <xf numFmtId="4" fontId="5" fillId="35" borderId="15" xfId="66" applyNumberFormat="1" applyFont="1" applyFill="1" applyBorder="1" applyAlignment="1">
      <alignment horizontal="left" vertical="center" wrapText="1"/>
    </xf>
    <xf numFmtId="4" fontId="5" fillId="35" borderId="21" xfId="66" applyNumberFormat="1" applyFont="1" applyFill="1" applyBorder="1" applyAlignment="1">
      <alignment horizontal="left" vertical="center" wrapText="1"/>
    </xf>
    <xf numFmtId="0" fontId="5" fillId="35" borderId="10" xfId="52" applyFont="1" applyFill="1" applyBorder="1" applyAlignment="1">
      <alignment vertical="center" wrapText="1"/>
      <protection/>
    </xf>
    <xf numFmtId="4" fontId="4" fillId="35" borderId="17" xfId="66" applyNumberFormat="1" applyFont="1" applyFill="1" applyBorder="1" applyAlignment="1">
      <alignment vertical="center"/>
    </xf>
    <xf numFmtId="4" fontId="4" fillId="35" borderId="16" xfId="66" applyNumberFormat="1" applyFont="1" applyFill="1" applyBorder="1" applyAlignment="1">
      <alignment vertical="center"/>
    </xf>
    <xf numFmtId="4" fontId="4" fillId="35" borderId="16" xfId="66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10" fontId="14" fillId="33" borderId="10" xfId="66" applyNumberFormat="1" applyFont="1" applyFill="1" applyBorder="1" applyAlignment="1">
      <alignment horizontal="center"/>
    </xf>
    <xf numFmtId="10" fontId="0" fillId="37" borderId="10" xfId="66" applyNumberFormat="1" applyFont="1" applyFill="1" applyBorder="1" applyAlignment="1">
      <alignment horizontal="center"/>
    </xf>
    <xf numFmtId="4" fontId="0" fillId="33" borderId="10" xfId="66" applyNumberFormat="1" applyFont="1" applyFill="1" applyBorder="1" applyAlignment="1">
      <alignment horizontal="center"/>
    </xf>
    <xf numFmtId="4" fontId="0" fillId="0" borderId="10" xfId="66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4" fontId="5" fillId="35" borderId="10" xfId="0" applyNumberFormat="1" applyFont="1" applyFill="1" applyBorder="1" applyAlignment="1">
      <alignment horizontal="center" vertical="center"/>
    </xf>
    <xf numFmtId="4" fontId="51" fillId="35" borderId="10" xfId="0" applyNumberFormat="1" applyFont="1" applyFill="1" applyBorder="1" applyAlignment="1">
      <alignment horizontal="center" vertical="center"/>
    </xf>
    <xf numFmtId="4" fontId="5" fillId="35" borderId="12" xfId="66" applyNumberFormat="1" applyFont="1" applyFill="1" applyBorder="1" applyAlignment="1">
      <alignment horizontal="center" vertical="center"/>
    </xf>
    <xf numFmtId="4" fontId="5" fillId="35" borderId="10" xfId="66" applyNumberFormat="1" applyFont="1" applyFill="1" applyBorder="1" applyAlignment="1">
      <alignment horizontal="center" vertical="center"/>
    </xf>
    <xf numFmtId="0" fontId="5" fillId="35" borderId="16" xfId="52" applyFont="1" applyFill="1" applyBorder="1" applyAlignment="1">
      <alignment horizontal="center" vertical="center" wrapText="1"/>
      <protection/>
    </xf>
    <xf numFmtId="4" fontId="5" fillId="35" borderId="16" xfId="66" applyNumberFormat="1" applyFont="1" applyFill="1" applyBorder="1" applyAlignment="1">
      <alignment/>
    </xf>
    <xf numFmtId="0" fontId="5" fillId="35" borderId="10" xfId="52" applyFont="1" applyFill="1" applyBorder="1" applyAlignment="1">
      <alignment horizontal="center" vertical="center"/>
      <protection/>
    </xf>
    <xf numFmtId="4" fontId="5" fillId="35" borderId="10" xfId="66" applyNumberFormat="1" applyFont="1" applyFill="1" applyBorder="1" applyAlignment="1">
      <alignment horizontal="center" vertical="center"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4" fontId="5" fillId="35" borderId="10" xfId="66" applyNumberFormat="1" applyFont="1" applyFill="1" applyBorder="1" applyAlignment="1">
      <alignment horizontal="center" vertical="center"/>
    </xf>
    <xf numFmtId="0" fontId="5" fillId="35" borderId="17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4" fontId="5" fillId="35" borderId="10" xfId="66" applyNumberFormat="1" applyFont="1" applyFill="1" applyBorder="1" applyAlignment="1">
      <alignment horizontal="left" vertical="center"/>
    </xf>
    <xf numFmtId="0" fontId="5" fillId="35" borderId="17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4" fontId="5" fillId="35" borderId="10" xfId="66" applyNumberFormat="1" applyFont="1" applyFill="1" applyBorder="1" applyAlignment="1">
      <alignment horizontal="center" vertical="center"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35" borderId="18" xfId="52" applyFont="1" applyFill="1" applyBorder="1" applyAlignment="1">
      <alignment horizontal="left" vertical="center" wrapText="1"/>
      <protection/>
    </xf>
    <xf numFmtId="0" fontId="4" fillId="35" borderId="19" xfId="52" applyFont="1" applyFill="1" applyBorder="1" applyAlignment="1">
      <alignment horizontal="left" vertical="center" wrapText="1"/>
      <protection/>
    </xf>
    <xf numFmtId="0" fontId="4" fillId="34" borderId="18" xfId="52" applyFont="1" applyFill="1" applyBorder="1" applyAlignment="1">
      <alignment horizontal="center" vertical="center" wrapText="1"/>
      <protection/>
    </xf>
    <xf numFmtId="0" fontId="4" fillId="34" borderId="19" xfId="52" applyFont="1" applyFill="1" applyBorder="1" applyAlignment="1">
      <alignment horizontal="center" vertical="center" wrapText="1"/>
      <protection/>
    </xf>
    <xf numFmtId="0" fontId="4" fillId="34" borderId="20" xfId="52" applyFont="1" applyFill="1" applyBorder="1" applyAlignment="1">
      <alignment horizontal="center" vertical="center" wrapText="1"/>
      <protection/>
    </xf>
    <xf numFmtId="0" fontId="1" fillId="35" borderId="18" xfId="52" applyFont="1" applyFill="1" applyBorder="1" applyAlignment="1">
      <alignment horizontal="center" vertical="center" wrapText="1"/>
      <protection/>
    </xf>
    <xf numFmtId="0" fontId="1" fillId="35" borderId="19" xfId="52" applyFont="1" applyFill="1" applyBorder="1" applyAlignment="1">
      <alignment horizontal="center" vertical="center" wrapText="1"/>
      <protection/>
    </xf>
    <xf numFmtId="0" fontId="12" fillId="33" borderId="18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34" borderId="10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4" fontId="0" fillId="35" borderId="10" xfId="52" applyNumberFormat="1" applyFont="1" applyFill="1" applyBorder="1" applyAlignment="1">
      <alignment horizontal="left" vertical="center" wrapText="1"/>
      <protection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0" fillId="33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justify" wrapText="1"/>
    </xf>
    <xf numFmtId="0" fontId="5" fillId="35" borderId="10" xfId="52" applyFont="1" applyFill="1" applyBorder="1" applyAlignment="1">
      <alignment horizontal="center" vertical="center" wrapText="1"/>
      <protection/>
    </xf>
    <xf numFmtId="0" fontId="4" fillId="35" borderId="20" xfId="52" applyFont="1" applyFill="1" applyBorder="1" applyAlignment="1">
      <alignment horizontal="left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7" xfId="52" applyFont="1" applyFill="1" applyBorder="1" applyAlignment="1">
      <alignment horizontal="center" vertical="center" wrapText="1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0" fontId="5" fillId="35" borderId="16" xfId="52" applyFont="1" applyFill="1" applyBorder="1" applyAlignment="1">
      <alignment horizontal="center" vertical="center" wrapText="1"/>
      <protection/>
    </xf>
    <xf numFmtId="0" fontId="5" fillId="35" borderId="18" xfId="52" applyFont="1" applyFill="1" applyBorder="1" applyAlignment="1">
      <alignment horizontal="left" vertical="center" wrapText="1"/>
      <protection/>
    </xf>
    <xf numFmtId="0" fontId="5" fillId="35" borderId="19" xfId="52" applyFont="1" applyFill="1" applyBorder="1" applyAlignment="1">
      <alignment horizontal="left" vertical="center" wrapText="1"/>
      <protection/>
    </xf>
    <xf numFmtId="0" fontId="5" fillId="35" borderId="20" xfId="52" applyFont="1" applyFill="1" applyBorder="1" applyAlignment="1">
      <alignment horizontal="left" vertical="center" wrapText="1"/>
      <protection/>
    </xf>
    <xf numFmtId="4" fontId="5" fillId="35" borderId="17" xfId="66" applyNumberFormat="1" applyFont="1" applyFill="1" applyBorder="1" applyAlignment="1">
      <alignment horizontal="center" vertical="center" wrapText="1"/>
    </xf>
    <xf numFmtId="4" fontId="5" fillId="35" borderId="12" xfId="66" applyNumberFormat="1" applyFont="1" applyFill="1" applyBorder="1" applyAlignment="1">
      <alignment horizontal="center" vertical="center" wrapText="1"/>
    </xf>
    <xf numFmtId="4" fontId="5" fillId="35" borderId="16" xfId="66" applyNumberFormat="1" applyFont="1" applyFill="1" applyBorder="1" applyAlignment="1">
      <alignment horizontal="center" vertical="center" wrapText="1"/>
    </xf>
    <xf numFmtId="0" fontId="5" fillId="35" borderId="17" xfId="52" applyFont="1" applyFill="1" applyBorder="1" applyAlignment="1">
      <alignment horizontal="center" vertical="center"/>
      <protection/>
    </xf>
    <xf numFmtId="0" fontId="5" fillId="35" borderId="12" xfId="52" applyFont="1" applyFill="1" applyBorder="1" applyAlignment="1">
      <alignment horizontal="center" vertical="center"/>
      <protection/>
    </xf>
    <xf numFmtId="4" fontId="5" fillId="35" borderId="17" xfId="66" applyNumberFormat="1" applyFont="1" applyFill="1" applyBorder="1" applyAlignment="1">
      <alignment horizontal="center" vertical="center"/>
    </xf>
    <xf numFmtId="4" fontId="5" fillId="35" borderId="12" xfId="66" applyNumberFormat="1" applyFont="1" applyFill="1" applyBorder="1" applyAlignment="1">
      <alignment horizontal="center" vertical="center"/>
    </xf>
    <xf numFmtId="4" fontId="5" fillId="35" borderId="16" xfId="66" applyNumberFormat="1" applyFont="1" applyFill="1" applyBorder="1" applyAlignment="1">
      <alignment horizontal="center" vertical="center"/>
    </xf>
    <xf numFmtId="0" fontId="5" fillId="35" borderId="16" xfId="52" applyFont="1" applyFill="1" applyBorder="1" applyAlignment="1">
      <alignment horizontal="center" vertical="center"/>
      <protection/>
    </xf>
    <xf numFmtId="4" fontId="5" fillId="35" borderId="10" xfId="66" applyNumberFormat="1" applyFont="1" applyFill="1" applyBorder="1" applyAlignment="1">
      <alignment horizontal="center" vertical="center"/>
    </xf>
    <xf numFmtId="0" fontId="5" fillId="35" borderId="17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left" vertical="center" wrapText="1"/>
      <protection/>
    </xf>
    <xf numFmtId="0" fontId="5" fillId="35" borderId="16" xfId="52" applyFont="1" applyFill="1" applyBorder="1" applyAlignment="1">
      <alignment horizontal="left" vertical="center" wrapText="1"/>
      <protection/>
    </xf>
    <xf numFmtId="4" fontId="5" fillId="35" borderId="10" xfId="66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5" borderId="10" xfId="52" applyFont="1" applyFill="1" applyBorder="1" applyAlignment="1">
      <alignment horizontal="center" vertical="center" wrapText="1"/>
      <protection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0" fontId="4" fillId="36" borderId="10" xfId="52" applyFont="1" applyFill="1" applyBorder="1" applyAlignment="1">
      <alignment horizontal="left" vertical="center" wrapText="1"/>
      <protection/>
    </xf>
    <xf numFmtId="0" fontId="5" fillId="35" borderId="18" xfId="52" applyFont="1" applyFill="1" applyBorder="1" applyAlignment="1">
      <alignment horizontal="center" vertical="center" wrapText="1"/>
      <protection/>
    </xf>
    <xf numFmtId="0" fontId="5" fillId="35" borderId="19" xfId="52" applyFont="1" applyFill="1" applyBorder="1" applyAlignment="1">
      <alignment horizontal="center" vertical="center" wrapText="1"/>
      <protection/>
    </xf>
    <xf numFmtId="0" fontId="5" fillId="35" borderId="20" xfId="52" applyFont="1" applyFill="1" applyBorder="1" applyAlignment="1">
      <alignment horizontal="center" vertical="center" wrapText="1"/>
      <protection/>
    </xf>
    <xf numFmtId="4" fontId="5" fillId="35" borderId="10" xfId="66" applyNumberFormat="1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_CUSTOS RESUMO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SheetLayoutView="100" workbookViewId="0" topLeftCell="A69">
      <selection activeCell="I5" sqref="I5"/>
    </sheetView>
  </sheetViews>
  <sheetFormatPr defaultColWidth="9.140625" defaultRowHeight="12.75"/>
  <cols>
    <col min="1" max="1" width="21.140625" style="11" customWidth="1"/>
    <col min="2" max="2" width="9.421875" style="5" customWidth="1"/>
    <col min="3" max="3" width="61.7109375" style="14" customWidth="1"/>
    <col min="4" max="4" width="7.8515625" style="6" customWidth="1"/>
    <col min="5" max="5" width="12.28125" style="6" customWidth="1"/>
    <col min="6" max="6" width="13.7109375" style="6" customWidth="1"/>
    <col min="7" max="7" width="18.7109375" style="6" customWidth="1"/>
    <col min="8" max="8" width="14.7109375" style="9" bestFit="1" customWidth="1"/>
    <col min="9" max="9" width="15.7109375" style="9" customWidth="1"/>
    <col min="10" max="16384" width="9.140625" style="5" customWidth="1"/>
  </cols>
  <sheetData>
    <row r="1" spans="1:7" ht="21.75" customHeight="1">
      <c r="A1" s="191"/>
      <c r="B1" s="192"/>
      <c r="C1" s="192"/>
      <c r="D1" s="192"/>
      <c r="E1" s="192"/>
      <c r="F1" s="192"/>
      <c r="G1" s="193"/>
    </row>
    <row r="2" spans="1:7" ht="21.75" customHeight="1">
      <c r="A2" s="194"/>
      <c r="B2" s="195"/>
      <c r="C2" s="195"/>
      <c r="D2" s="195"/>
      <c r="E2" s="195"/>
      <c r="F2" s="195"/>
      <c r="G2" s="196"/>
    </row>
    <row r="3" spans="1:7" ht="21.75" customHeight="1">
      <c r="A3" s="194"/>
      <c r="B3" s="195"/>
      <c r="C3" s="195"/>
      <c r="D3" s="195"/>
      <c r="E3" s="195"/>
      <c r="F3" s="195"/>
      <c r="G3" s="196"/>
    </row>
    <row r="4" spans="1:7" ht="65.25" customHeight="1">
      <c r="A4" s="185" t="s">
        <v>18</v>
      </c>
      <c r="B4" s="186"/>
      <c r="C4" s="186"/>
      <c r="D4" s="186"/>
      <c r="E4" s="187"/>
      <c r="F4" s="183" t="s">
        <v>409</v>
      </c>
      <c r="G4" s="184"/>
    </row>
    <row r="5" spans="1:9" s="16" customFormat="1" ht="81.75" customHeight="1">
      <c r="A5" s="197" t="s">
        <v>190</v>
      </c>
      <c r="B5" s="198"/>
      <c r="C5" s="198"/>
      <c r="D5" s="198"/>
      <c r="E5" s="198"/>
      <c r="F5" s="198"/>
      <c r="G5" s="199"/>
      <c r="H5" s="20"/>
      <c r="I5" s="20"/>
    </row>
    <row r="6" spans="1:7" ht="24.75" customHeight="1">
      <c r="A6" s="200" t="s">
        <v>184</v>
      </c>
      <c r="B6" s="200"/>
      <c r="C6" s="200"/>
      <c r="D6" s="200"/>
      <c r="E6" s="200"/>
      <c r="F6" s="200"/>
      <c r="G6" s="200"/>
    </row>
    <row r="7" spans="1:8" ht="100.5" customHeight="1">
      <c r="A7" s="201" t="s">
        <v>408</v>
      </c>
      <c r="B7" s="202"/>
      <c r="C7" s="202"/>
      <c r="D7" s="202"/>
      <c r="E7" s="202"/>
      <c r="F7" s="202"/>
      <c r="G7" s="203"/>
      <c r="H7" s="42"/>
    </row>
    <row r="8" spans="1:7" ht="21" customHeight="1">
      <c r="A8" s="204" t="s">
        <v>185</v>
      </c>
      <c r="B8" s="205" t="s">
        <v>1</v>
      </c>
      <c r="C8" s="205" t="s">
        <v>183</v>
      </c>
      <c r="D8" s="206" t="s">
        <v>186</v>
      </c>
      <c r="E8" s="207"/>
      <c r="F8" s="207"/>
      <c r="G8" s="208"/>
    </row>
    <row r="9" spans="1:7" ht="35.25" customHeight="1">
      <c r="A9" s="204"/>
      <c r="B9" s="205"/>
      <c r="C9" s="205"/>
      <c r="D9" s="1" t="s">
        <v>155</v>
      </c>
      <c r="E9" s="2" t="s">
        <v>17</v>
      </c>
      <c r="F9" s="3" t="s">
        <v>189</v>
      </c>
      <c r="G9" s="3" t="s">
        <v>177</v>
      </c>
    </row>
    <row r="10" spans="1:7" ht="19.5" customHeight="1">
      <c r="A10" s="24"/>
      <c r="B10" s="21" t="s">
        <v>37</v>
      </c>
      <c r="C10" s="88" t="s">
        <v>178</v>
      </c>
      <c r="D10" s="89"/>
      <c r="E10" s="89"/>
      <c r="F10" s="89"/>
      <c r="G10" s="91">
        <f>G11</f>
        <v>74776.67</v>
      </c>
    </row>
    <row r="11" spans="1:7" ht="19.5" customHeight="1">
      <c r="A11" s="25"/>
      <c r="B11" s="4">
        <v>1</v>
      </c>
      <c r="C11" s="90" t="s">
        <v>2</v>
      </c>
      <c r="D11" s="85"/>
      <c r="E11" s="85"/>
      <c r="F11" s="85"/>
      <c r="G11" s="87">
        <f>SUM(G12:G21)</f>
        <v>74776.67</v>
      </c>
    </row>
    <row r="12" spans="1:7" ht="30">
      <c r="A12" s="26" t="s">
        <v>137</v>
      </c>
      <c r="B12" s="115" t="s">
        <v>3</v>
      </c>
      <c r="C12" s="93" t="s">
        <v>161</v>
      </c>
      <c r="D12" s="75" t="s">
        <v>4</v>
      </c>
      <c r="E12" s="76">
        <f>'Memoria de Calculo'!E7</f>
        <v>8</v>
      </c>
      <c r="F12" s="145">
        <f>279.98*1.12</f>
        <v>313.58</v>
      </c>
      <c r="G12" s="76">
        <f>E12*F12</f>
        <v>2508.64</v>
      </c>
    </row>
    <row r="13" spans="1:7" ht="30">
      <c r="A13" s="39" t="s">
        <v>167</v>
      </c>
      <c r="B13" s="151" t="s">
        <v>5</v>
      </c>
      <c r="C13" s="69" t="s">
        <v>166</v>
      </c>
      <c r="D13" s="58" t="s">
        <v>168</v>
      </c>
      <c r="E13" s="76">
        <f>'Memoria de Calculo'!E8</f>
        <v>1</v>
      </c>
      <c r="F13" s="146">
        <f>10390.49*1.2332*1.21</f>
        <v>15504.4</v>
      </c>
      <c r="G13" s="76">
        <f aca="true" t="shared" si="0" ref="G13:G20">E13*F13</f>
        <v>15504.4</v>
      </c>
    </row>
    <row r="14" spans="1:7" ht="24.75" customHeight="1">
      <c r="A14" s="26" t="s">
        <v>365</v>
      </c>
      <c r="B14" s="151" t="s">
        <v>22</v>
      </c>
      <c r="C14" s="69" t="s">
        <v>364</v>
      </c>
      <c r="D14" s="58" t="s">
        <v>11</v>
      </c>
      <c r="E14" s="152">
        <f>'Memoria de Calculo'!E9</f>
        <v>12</v>
      </c>
      <c r="F14" s="146">
        <f>513.83*1.12</f>
        <v>575.49</v>
      </c>
      <c r="G14" s="152">
        <f>E14*F14</f>
        <v>6905.88</v>
      </c>
    </row>
    <row r="15" spans="1:7" ht="38.25" customHeight="1">
      <c r="A15" s="26" t="s">
        <v>23</v>
      </c>
      <c r="B15" s="151" t="s">
        <v>71</v>
      </c>
      <c r="C15" s="69" t="s">
        <v>24</v>
      </c>
      <c r="D15" s="58" t="s">
        <v>11</v>
      </c>
      <c r="E15" s="76">
        <f>'Memoria de Calculo'!E10</f>
        <v>12</v>
      </c>
      <c r="F15" s="146">
        <f>863.24*1.12</f>
        <v>966.83</v>
      </c>
      <c r="G15" s="76">
        <f t="shared" si="0"/>
        <v>11601.96</v>
      </c>
    </row>
    <row r="16" spans="1:7" ht="49.5" customHeight="1">
      <c r="A16" s="26" t="s">
        <v>139</v>
      </c>
      <c r="B16" s="151" t="s">
        <v>74</v>
      </c>
      <c r="C16" s="94" t="s">
        <v>363</v>
      </c>
      <c r="D16" s="151" t="s">
        <v>4</v>
      </c>
      <c r="E16" s="67">
        <f>'Memoria de Calculo'!E11</f>
        <v>12</v>
      </c>
      <c r="F16" s="67">
        <f>466.17*1.12</f>
        <v>522.11</v>
      </c>
      <c r="G16" s="152">
        <f>E16*F16</f>
        <v>6265.32</v>
      </c>
    </row>
    <row r="17" spans="1:7" ht="49.5" customHeight="1">
      <c r="A17" s="39" t="s">
        <v>367</v>
      </c>
      <c r="B17" s="151" t="s">
        <v>75</v>
      </c>
      <c r="C17" s="94" t="s">
        <v>366</v>
      </c>
      <c r="D17" s="75" t="s">
        <v>4</v>
      </c>
      <c r="E17" s="67">
        <f>'Memoria de Calculo'!E12</f>
        <v>12</v>
      </c>
      <c r="F17" s="67">
        <f>526.83*1.2332</f>
        <v>649.69</v>
      </c>
      <c r="G17" s="76">
        <f t="shared" si="0"/>
        <v>7796.28</v>
      </c>
    </row>
    <row r="18" spans="1:7" ht="48.75" customHeight="1">
      <c r="A18" s="26" t="s">
        <v>96</v>
      </c>
      <c r="B18" s="151" t="s">
        <v>76</v>
      </c>
      <c r="C18" s="100" t="s">
        <v>97</v>
      </c>
      <c r="D18" s="75" t="s">
        <v>0</v>
      </c>
      <c r="E18" s="67">
        <f>'Memoria de Calculo'!E13</f>
        <v>25</v>
      </c>
      <c r="F18" s="67">
        <f>39.94*1.12</f>
        <v>44.73</v>
      </c>
      <c r="G18" s="76">
        <f t="shared" si="0"/>
        <v>1118.25</v>
      </c>
    </row>
    <row r="19" spans="1:7" ht="47.25" customHeight="1">
      <c r="A19" s="26" t="s">
        <v>98</v>
      </c>
      <c r="B19" s="151" t="s">
        <v>101</v>
      </c>
      <c r="C19" s="94" t="s">
        <v>99</v>
      </c>
      <c r="D19" s="75" t="s">
        <v>0</v>
      </c>
      <c r="E19" s="67">
        <f>'Memoria de Calculo'!E14</f>
        <v>25</v>
      </c>
      <c r="F19" s="67">
        <f>331.21*1.12</f>
        <v>370.96</v>
      </c>
      <c r="G19" s="76">
        <f t="shared" si="0"/>
        <v>9274</v>
      </c>
    </row>
    <row r="20" spans="1:7" ht="49.5" customHeight="1">
      <c r="A20" s="26" t="s">
        <v>100</v>
      </c>
      <c r="B20" s="151" t="s">
        <v>368</v>
      </c>
      <c r="C20" s="95" t="s">
        <v>102</v>
      </c>
      <c r="D20" s="75" t="s">
        <v>0</v>
      </c>
      <c r="E20" s="67">
        <f>'Memoria de Calculo'!E15</f>
        <v>20</v>
      </c>
      <c r="F20" s="67">
        <f>472.29*1.12</f>
        <v>528.96</v>
      </c>
      <c r="G20" s="76">
        <f t="shared" si="0"/>
        <v>10579.2</v>
      </c>
    </row>
    <row r="21" spans="1:7" ht="32.25" customHeight="1">
      <c r="A21" s="26" t="s">
        <v>95</v>
      </c>
      <c r="B21" s="154" t="s">
        <v>369</v>
      </c>
      <c r="C21" s="94" t="s">
        <v>78</v>
      </c>
      <c r="D21" s="154" t="s">
        <v>36</v>
      </c>
      <c r="E21" s="67">
        <f>'Memoria de Calculo'!E16</f>
        <v>2</v>
      </c>
      <c r="F21" s="67">
        <f>1438.72*1.12</f>
        <v>1611.37</v>
      </c>
      <c r="G21" s="155">
        <f>E21*F21</f>
        <v>3222.74</v>
      </c>
    </row>
    <row r="22" spans="1:7" ht="19.5" customHeight="1">
      <c r="A22" s="24"/>
      <c r="B22" s="21" t="s">
        <v>40</v>
      </c>
      <c r="C22" s="88" t="s">
        <v>38</v>
      </c>
      <c r="D22" s="89"/>
      <c r="E22" s="89"/>
      <c r="F22" s="89"/>
      <c r="G22" s="92">
        <f>G23+G30</f>
        <v>3464404.94</v>
      </c>
    </row>
    <row r="23" spans="1:7" ht="19.5" customHeight="1">
      <c r="A23" s="26"/>
      <c r="B23" s="22">
        <v>2</v>
      </c>
      <c r="C23" s="84" t="s">
        <v>21</v>
      </c>
      <c r="D23" s="85"/>
      <c r="E23" s="85"/>
      <c r="F23" s="85"/>
      <c r="G23" s="87">
        <f>SUM(G24:G29)</f>
        <v>3248884.49</v>
      </c>
    </row>
    <row r="24" spans="1:7" ht="33.75" customHeight="1">
      <c r="A24" s="26" t="s">
        <v>103</v>
      </c>
      <c r="B24" s="115" t="s">
        <v>19</v>
      </c>
      <c r="C24" s="23" t="s">
        <v>104</v>
      </c>
      <c r="D24" s="75" t="s">
        <v>0</v>
      </c>
      <c r="E24" s="76">
        <f>'Memoria de Calculo'!E28</f>
        <v>2784.43</v>
      </c>
      <c r="F24" s="146">
        <f>56.69*1.1215</f>
        <v>63.58</v>
      </c>
      <c r="G24" s="76">
        <f aca="true" t="shared" si="1" ref="G24:G29">F24*E24</f>
        <v>177034.06</v>
      </c>
    </row>
    <row r="25" spans="1:7" ht="42" customHeight="1">
      <c r="A25" s="26" t="s">
        <v>371</v>
      </c>
      <c r="B25" s="166" t="s">
        <v>20</v>
      </c>
      <c r="C25" s="23" t="s">
        <v>372</v>
      </c>
      <c r="D25" s="161" t="s">
        <v>16</v>
      </c>
      <c r="E25" s="162">
        <f>'Memoria de Calculo'!E35</f>
        <v>1288.7</v>
      </c>
      <c r="F25" s="146">
        <f>59.74*1.1215</f>
        <v>67</v>
      </c>
      <c r="G25" s="162">
        <f t="shared" si="1"/>
        <v>86342.9</v>
      </c>
    </row>
    <row r="26" spans="1:7" ht="49.5" customHeight="1">
      <c r="A26" s="26" t="s">
        <v>374</v>
      </c>
      <c r="B26" s="166" t="s">
        <v>80</v>
      </c>
      <c r="C26" s="23" t="s">
        <v>385</v>
      </c>
      <c r="D26" s="151" t="s">
        <v>376</v>
      </c>
      <c r="E26" s="152">
        <f>'Memoria de Calculo'!E38</f>
        <v>2319.66</v>
      </c>
      <c r="F26" s="146">
        <f>((0.221*101)+8.491)*1.2332</f>
        <v>38</v>
      </c>
      <c r="G26" s="152">
        <f t="shared" si="1"/>
        <v>88147.08</v>
      </c>
    </row>
    <row r="27" spans="1:7" ht="48" customHeight="1">
      <c r="A27" s="26" t="s">
        <v>105</v>
      </c>
      <c r="B27" s="166" t="s">
        <v>386</v>
      </c>
      <c r="C27" s="23" t="s">
        <v>180</v>
      </c>
      <c r="D27" s="75" t="s">
        <v>4</v>
      </c>
      <c r="E27" s="76">
        <f>'Memoria de Calculo'!E66</f>
        <v>18409.94</v>
      </c>
      <c r="F27" s="146">
        <f>89.7*1.1215</f>
        <v>100.6</v>
      </c>
      <c r="G27" s="148">
        <f t="shared" si="1"/>
        <v>1852039.96</v>
      </c>
    </row>
    <row r="28" spans="1:7" ht="27" customHeight="1">
      <c r="A28" s="74" t="s">
        <v>106</v>
      </c>
      <c r="B28" s="166" t="s">
        <v>387</v>
      </c>
      <c r="C28" s="23" t="s">
        <v>107</v>
      </c>
      <c r="D28" s="74" t="s">
        <v>0</v>
      </c>
      <c r="E28" s="76">
        <f>'Memoria de Calculo'!E100</f>
        <v>3723.23</v>
      </c>
      <c r="F28" s="146">
        <f>76.86*1.12</f>
        <v>86.08</v>
      </c>
      <c r="G28" s="148">
        <f t="shared" si="1"/>
        <v>320495.64</v>
      </c>
    </row>
    <row r="29" spans="1:7" ht="36" customHeight="1">
      <c r="A29" s="74" t="s">
        <v>108</v>
      </c>
      <c r="B29" s="166" t="s">
        <v>388</v>
      </c>
      <c r="C29" s="23" t="s">
        <v>109</v>
      </c>
      <c r="D29" s="74" t="s">
        <v>4</v>
      </c>
      <c r="E29" s="76">
        <f>'Memoria de Calculo'!E110</f>
        <v>7316.29</v>
      </c>
      <c r="F29" s="146">
        <f>88.34*1.1215</f>
        <v>99.07</v>
      </c>
      <c r="G29" s="148">
        <f t="shared" si="1"/>
        <v>724824.85</v>
      </c>
    </row>
    <row r="30" spans="1:7" ht="19.5" customHeight="1">
      <c r="A30" s="26"/>
      <c r="B30" s="22">
        <v>3</v>
      </c>
      <c r="C30" s="84" t="s">
        <v>113</v>
      </c>
      <c r="D30" s="85"/>
      <c r="E30" s="85"/>
      <c r="F30" s="85"/>
      <c r="G30" s="87">
        <f>SUM(G31:G38)</f>
        <v>215520.45</v>
      </c>
    </row>
    <row r="31" spans="1:7" ht="39" customHeight="1">
      <c r="A31" s="74" t="s">
        <v>58</v>
      </c>
      <c r="B31" s="116" t="s">
        <v>28</v>
      </c>
      <c r="C31" s="23" t="s">
        <v>59</v>
      </c>
      <c r="D31" s="74" t="s">
        <v>0</v>
      </c>
      <c r="E31" s="67">
        <f>'Memoria de Calculo'!E126</f>
        <v>95</v>
      </c>
      <c r="F31" s="67">
        <f>146.51*1.1148</f>
        <v>163.33</v>
      </c>
      <c r="G31" s="76">
        <f aca="true" t="shared" si="2" ref="G31:G37">F31*E31</f>
        <v>15516.35</v>
      </c>
    </row>
    <row r="32" spans="1:7" ht="40.5" customHeight="1">
      <c r="A32" s="74" t="s">
        <v>56</v>
      </c>
      <c r="B32" s="165" t="s">
        <v>29</v>
      </c>
      <c r="C32" s="23" t="s">
        <v>110</v>
      </c>
      <c r="D32" s="74" t="s">
        <v>0</v>
      </c>
      <c r="E32" s="67">
        <f>'Memoria de Calculo'!E139</f>
        <v>27.19</v>
      </c>
      <c r="F32" s="67">
        <f>200.85*1.1148</f>
        <v>223.91</v>
      </c>
      <c r="G32" s="76">
        <f t="shared" si="2"/>
        <v>6088.11</v>
      </c>
    </row>
    <row r="33" spans="1:7" ht="36" customHeight="1">
      <c r="A33" s="74" t="s">
        <v>54</v>
      </c>
      <c r="B33" s="165" t="s">
        <v>30</v>
      </c>
      <c r="C33" s="23" t="s">
        <v>53</v>
      </c>
      <c r="D33" s="74" t="s">
        <v>0</v>
      </c>
      <c r="E33" s="67">
        <f>'Memoria de Calculo'!E144</f>
        <v>384.51</v>
      </c>
      <c r="F33" s="67">
        <f>300.08*1.1148</f>
        <v>334.53</v>
      </c>
      <c r="G33" s="76">
        <f t="shared" si="2"/>
        <v>128630.13</v>
      </c>
    </row>
    <row r="34" spans="1:7" ht="48" customHeight="1">
      <c r="A34" s="78" t="s">
        <v>181</v>
      </c>
      <c r="B34" s="165" t="s">
        <v>34</v>
      </c>
      <c r="C34" s="23" t="s">
        <v>182</v>
      </c>
      <c r="D34" s="77" t="s">
        <v>36</v>
      </c>
      <c r="E34" s="67">
        <f>'Memoria de Calculo'!E148</f>
        <v>1</v>
      </c>
      <c r="F34" s="67">
        <f>4025.38*1.1148</f>
        <v>4487.49</v>
      </c>
      <c r="G34" s="79">
        <f t="shared" si="2"/>
        <v>4487.49</v>
      </c>
    </row>
    <row r="35" spans="1:7" ht="50.25" customHeight="1">
      <c r="A35" s="74" t="s">
        <v>111</v>
      </c>
      <c r="B35" s="165" t="s">
        <v>370</v>
      </c>
      <c r="C35" s="23" t="s">
        <v>112</v>
      </c>
      <c r="D35" s="75" t="s">
        <v>36</v>
      </c>
      <c r="E35" s="67">
        <f>'Memoria de Calculo'!E152</f>
        <v>6</v>
      </c>
      <c r="F35" s="67">
        <f>4456.61*1.1148</f>
        <v>4968.23</v>
      </c>
      <c r="G35" s="76">
        <f t="shared" si="2"/>
        <v>29809.38</v>
      </c>
    </row>
    <row r="36" spans="1:7" ht="42.75" customHeight="1">
      <c r="A36" s="74" t="s">
        <v>60</v>
      </c>
      <c r="B36" s="165" t="s">
        <v>375</v>
      </c>
      <c r="C36" s="23" t="s">
        <v>61</v>
      </c>
      <c r="D36" s="74" t="s">
        <v>36</v>
      </c>
      <c r="E36" s="67">
        <f>'Memoria de Calculo'!E160</f>
        <v>16</v>
      </c>
      <c r="F36" s="67">
        <f>1354.11*1.1148</f>
        <v>1509.56</v>
      </c>
      <c r="G36" s="76">
        <f t="shared" si="2"/>
        <v>24152.96</v>
      </c>
    </row>
    <row r="37" spans="1:10" ht="30">
      <c r="A37" s="122" t="s">
        <v>300</v>
      </c>
      <c r="B37" s="165" t="s">
        <v>389</v>
      </c>
      <c r="C37" s="55" t="s">
        <v>299</v>
      </c>
      <c r="D37" s="121" t="s">
        <v>0</v>
      </c>
      <c r="E37" s="123">
        <f>'Memoria de Calculo'!E166</f>
        <v>10</v>
      </c>
      <c r="F37" s="146">
        <f>367.23*1.1148</f>
        <v>409.39</v>
      </c>
      <c r="G37" s="123">
        <f t="shared" si="2"/>
        <v>4093.9</v>
      </c>
      <c r="H37" s="5"/>
      <c r="J37" s="9"/>
    </row>
    <row r="38" spans="1:10" ht="30">
      <c r="A38" s="122" t="s">
        <v>302</v>
      </c>
      <c r="B38" s="165" t="s">
        <v>390</v>
      </c>
      <c r="C38" s="55" t="s">
        <v>301</v>
      </c>
      <c r="D38" s="121" t="s">
        <v>36</v>
      </c>
      <c r="E38" s="123">
        <f>'Memoria de Calculo'!E169</f>
        <v>1</v>
      </c>
      <c r="F38" s="146">
        <f>2459.75*1.1148</f>
        <v>2742.13</v>
      </c>
      <c r="G38" s="123">
        <f>F38*E38</f>
        <v>2742.13</v>
      </c>
      <c r="H38" s="5"/>
      <c r="J38" s="9"/>
    </row>
    <row r="39" spans="1:7" ht="19.5" customHeight="1">
      <c r="A39" s="24"/>
      <c r="B39" s="21" t="s">
        <v>148</v>
      </c>
      <c r="C39" s="88" t="s">
        <v>150</v>
      </c>
      <c r="D39" s="89"/>
      <c r="E39" s="89"/>
      <c r="F39" s="89"/>
      <c r="G39" s="91">
        <f>G41+G46+G48+G50</f>
        <v>310135.49</v>
      </c>
    </row>
    <row r="40" spans="1:7" ht="19.5" customHeight="1">
      <c r="A40" s="188" t="s">
        <v>39</v>
      </c>
      <c r="B40" s="188"/>
      <c r="C40" s="188"/>
      <c r="D40" s="188"/>
      <c r="E40" s="188"/>
      <c r="F40" s="188"/>
      <c r="G40" s="188"/>
    </row>
    <row r="41" spans="1:7" ht="19.5" customHeight="1">
      <c r="A41" s="25"/>
      <c r="B41" s="4">
        <v>4</v>
      </c>
      <c r="C41" s="84" t="s">
        <v>42</v>
      </c>
      <c r="D41" s="85"/>
      <c r="E41" s="85"/>
      <c r="F41" s="85"/>
      <c r="G41" s="87">
        <f>SUM(G42:G45)</f>
        <v>51933.05</v>
      </c>
    </row>
    <row r="42" spans="1:7" ht="90">
      <c r="A42" s="39" t="s">
        <v>382</v>
      </c>
      <c r="B42" s="68" t="s">
        <v>31</v>
      </c>
      <c r="C42" s="23" t="s">
        <v>381</v>
      </c>
      <c r="D42" s="163" t="s">
        <v>16</v>
      </c>
      <c r="E42" s="67">
        <f>'Memoria de Calculo'!E175</f>
        <v>965.65</v>
      </c>
      <c r="F42" s="67">
        <f>10.8*1.2332</f>
        <v>13.32</v>
      </c>
      <c r="G42" s="76">
        <f>F42*E42</f>
        <v>12862.46</v>
      </c>
    </row>
    <row r="43" spans="1:7" ht="39" customHeight="1">
      <c r="A43" s="39" t="s">
        <v>174</v>
      </c>
      <c r="B43" s="68" t="s">
        <v>32</v>
      </c>
      <c r="C43" s="23" t="s">
        <v>383</v>
      </c>
      <c r="D43" s="163" t="s">
        <v>16</v>
      </c>
      <c r="E43" s="67">
        <f>'Memoria de Calculo'!E180</f>
        <v>85.1</v>
      </c>
      <c r="F43" s="67">
        <f>65.27*1.2332</f>
        <v>80.49</v>
      </c>
      <c r="G43" s="76">
        <f>F43*E43</f>
        <v>6849.7</v>
      </c>
    </row>
    <row r="44" spans="1:7" ht="75">
      <c r="A44" s="39" t="s">
        <v>187</v>
      </c>
      <c r="B44" s="68" t="s">
        <v>33</v>
      </c>
      <c r="C44" s="23" t="s">
        <v>188</v>
      </c>
      <c r="D44" s="163" t="s">
        <v>16</v>
      </c>
      <c r="E44" s="67">
        <f>'Memoria de Calculo'!E186</f>
        <v>60.35</v>
      </c>
      <c r="F44" s="67">
        <f>88.66*1.2332</f>
        <v>109.34</v>
      </c>
      <c r="G44" s="76">
        <f>F44*E44</f>
        <v>6598.67</v>
      </c>
    </row>
    <row r="45" spans="1:7" ht="35.25" customHeight="1">
      <c r="A45" s="39" t="s">
        <v>176</v>
      </c>
      <c r="B45" s="68" t="s">
        <v>35</v>
      </c>
      <c r="C45" s="23" t="s">
        <v>175</v>
      </c>
      <c r="D45" s="163" t="s">
        <v>16</v>
      </c>
      <c r="E45" s="67">
        <f>'Memoria de Calculo'!E194</f>
        <v>737.33</v>
      </c>
      <c r="F45" s="67">
        <f>28.18*1.2332</f>
        <v>34.75</v>
      </c>
      <c r="G45" s="76">
        <f>F45*E45</f>
        <v>25622.22</v>
      </c>
    </row>
    <row r="46" spans="1:7" ht="19.5" customHeight="1">
      <c r="A46" s="26"/>
      <c r="B46" s="22">
        <v>5</v>
      </c>
      <c r="C46" s="84" t="s">
        <v>43</v>
      </c>
      <c r="D46" s="85"/>
      <c r="E46" s="85"/>
      <c r="F46" s="85"/>
      <c r="G46" s="87">
        <f>G47</f>
        <v>100377.76</v>
      </c>
    </row>
    <row r="47" spans="1:7" ht="54" customHeight="1">
      <c r="A47" s="39" t="s">
        <v>361</v>
      </c>
      <c r="B47" s="68" t="s">
        <v>41</v>
      </c>
      <c r="C47" s="23" t="s">
        <v>354</v>
      </c>
      <c r="D47" s="163" t="s">
        <v>0</v>
      </c>
      <c r="E47" s="67">
        <f>'Memoria de Calculo'!E205</f>
        <v>1005.89</v>
      </c>
      <c r="F47" s="67">
        <f>80.92*1.2332</f>
        <v>99.79</v>
      </c>
      <c r="G47" s="76">
        <f>F47*E47</f>
        <v>100377.76</v>
      </c>
    </row>
    <row r="48" spans="1:7" ht="19.5" customHeight="1">
      <c r="A48" s="26"/>
      <c r="B48" s="22">
        <v>6</v>
      </c>
      <c r="C48" s="84" t="s">
        <v>46</v>
      </c>
      <c r="D48" s="85"/>
      <c r="E48" s="85"/>
      <c r="F48" s="85"/>
      <c r="G48" s="87">
        <f>SUM(G49:G49)</f>
        <v>34978.02</v>
      </c>
    </row>
    <row r="49" spans="1:7" ht="78" customHeight="1">
      <c r="A49" s="39" t="s">
        <v>356</v>
      </c>
      <c r="B49" s="68" t="s">
        <v>44</v>
      </c>
      <c r="C49" s="99" t="s">
        <v>355</v>
      </c>
      <c r="D49" s="163" t="s">
        <v>48</v>
      </c>
      <c r="E49" s="67">
        <f>'Memoria de Calculo'!E211</f>
        <v>21</v>
      </c>
      <c r="F49" s="67">
        <f>1350.65*1.2332</f>
        <v>1665.62</v>
      </c>
      <c r="G49" s="76">
        <f>F49*E49</f>
        <v>34978.02</v>
      </c>
    </row>
    <row r="50" spans="1:7" ht="19.5" customHeight="1">
      <c r="A50" s="26"/>
      <c r="B50" s="22">
        <v>7</v>
      </c>
      <c r="C50" s="84" t="s">
        <v>50</v>
      </c>
      <c r="D50" s="85"/>
      <c r="E50" s="85"/>
      <c r="F50" s="85"/>
      <c r="G50" s="87">
        <f>SUM(G51:G54)</f>
        <v>122846.66</v>
      </c>
    </row>
    <row r="51" spans="1:7" ht="52.5" customHeight="1">
      <c r="A51" s="39" t="s">
        <v>358</v>
      </c>
      <c r="B51" s="68" t="s">
        <v>45</v>
      </c>
      <c r="C51" s="99" t="s">
        <v>357</v>
      </c>
      <c r="D51" s="163" t="s">
        <v>48</v>
      </c>
      <c r="E51" s="67">
        <f>'Memoria de Calculo'!E219</f>
        <v>74</v>
      </c>
      <c r="F51" s="67">
        <f>225.71*1.2332</f>
        <v>278.35</v>
      </c>
      <c r="G51" s="76">
        <f>F51*E51</f>
        <v>20597.9</v>
      </c>
    </row>
    <row r="52" spans="1:7" ht="113.25" customHeight="1">
      <c r="A52" s="39" t="s">
        <v>126</v>
      </c>
      <c r="B52" s="68" t="s">
        <v>391</v>
      </c>
      <c r="C52" s="23" t="s">
        <v>125</v>
      </c>
      <c r="D52" s="163" t="s">
        <v>48</v>
      </c>
      <c r="E52" s="67">
        <f>'Memoria de Calculo'!E224</f>
        <v>74</v>
      </c>
      <c r="F52" s="67">
        <f>1016.87*1.2332</f>
        <v>1254</v>
      </c>
      <c r="G52" s="76">
        <f>F52*E52</f>
        <v>92796</v>
      </c>
    </row>
    <row r="53" spans="1:7" ht="19.5" customHeight="1">
      <c r="A53" s="26"/>
      <c r="B53" s="22" t="s">
        <v>45</v>
      </c>
      <c r="C53" s="176" t="s">
        <v>141</v>
      </c>
      <c r="D53" s="177"/>
      <c r="E53" s="177"/>
      <c r="F53" s="85"/>
      <c r="G53" s="86"/>
    </row>
    <row r="54" spans="1:7" ht="63.75" customHeight="1">
      <c r="A54" s="39" t="s">
        <v>170</v>
      </c>
      <c r="B54" s="68" t="s">
        <v>392</v>
      </c>
      <c r="C54" s="23" t="s">
        <v>171</v>
      </c>
      <c r="D54" s="163" t="s">
        <v>0</v>
      </c>
      <c r="E54" s="67">
        <f>'Memoria de Calculo'!E231</f>
        <v>148</v>
      </c>
      <c r="F54" s="67">
        <f>51.79*1.2332</f>
        <v>63.87</v>
      </c>
      <c r="G54" s="76">
        <f>F54*E54</f>
        <v>9452.76</v>
      </c>
    </row>
    <row r="55" spans="1:7" ht="19.5" customHeight="1">
      <c r="A55" s="24"/>
      <c r="B55" s="21" t="s">
        <v>179</v>
      </c>
      <c r="C55" s="88" t="s">
        <v>151</v>
      </c>
      <c r="D55" s="89"/>
      <c r="E55" s="89"/>
      <c r="F55" s="89"/>
      <c r="G55" s="91">
        <f>SUM(G57+G60+G63)</f>
        <v>99920.29</v>
      </c>
    </row>
    <row r="56" spans="1:7" ht="19.5" customHeight="1">
      <c r="A56" s="178" t="s">
        <v>66</v>
      </c>
      <c r="B56" s="179"/>
      <c r="C56" s="179"/>
      <c r="D56" s="179"/>
      <c r="E56" s="179"/>
      <c r="F56" s="179"/>
      <c r="G56" s="180"/>
    </row>
    <row r="57" spans="1:7" ht="19.5" customHeight="1">
      <c r="A57" s="26"/>
      <c r="B57" s="22">
        <v>8</v>
      </c>
      <c r="C57" s="84" t="s">
        <v>146</v>
      </c>
      <c r="D57" s="85"/>
      <c r="E57" s="85"/>
      <c r="F57" s="85"/>
      <c r="G57" s="87">
        <f>SUM(G58:G59)</f>
        <v>58847.5</v>
      </c>
    </row>
    <row r="58" spans="1:7" ht="30">
      <c r="A58" s="39" t="s">
        <v>130</v>
      </c>
      <c r="B58" s="68" t="s">
        <v>47</v>
      </c>
      <c r="C58" s="23" t="s">
        <v>129</v>
      </c>
      <c r="D58" s="75" t="s">
        <v>0</v>
      </c>
      <c r="E58" s="67">
        <f>'Memoria de Calculo'!E241</f>
        <v>1005.89</v>
      </c>
      <c r="F58" s="67">
        <f>38.25*1.2332*1.21</f>
        <v>57.08</v>
      </c>
      <c r="G58" s="76">
        <f>F58*E58</f>
        <v>57416.2</v>
      </c>
    </row>
    <row r="59" spans="1:7" ht="53.25" customHeight="1">
      <c r="A59" s="39" t="s">
        <v>69</v>
      </c>
      <c r="B59" s="68" t="s">
        <v>70</v>
      </c>
      <c r="C59" s="23" t="s">
        <v>152</v>
      </c>
      <c r="D59" s="75" t="s">
        <v>36</v>
      </c>
      <c r="E59" s="67">
        <f>'Memoria de Calculo'!E245</f>
        <v>2</v>
      </c>
      <c r="F59" s="67">
        <v>715.65</v>
      </c>
      <c r="G59" s="76">
        <f>F59*E59</f>
        <v>1431.3</v>
      </c>
    </row>
    <row r="60" spans="1:7" ht="19.5" customHeight="1">
      <c r="A60" s="26"/>
      <c r="B60" s="22">
        <v>9</v>
      </c>
      <c r="C60" s="84" t="s">
        <v>134</v>
      </c>
      <c r="D60" s="85"/>
      <c r="E60" s="85"/>
      <c r="F60" s="85"/>
      <c r="G60" s="87">
        <f>SUM(G61:G62)</f>
        <v>3594.64</v>
      </c>
    </row>
    <row r="61" spans="1:7" ht="77.25" customHeight="1">
      <c r="A61" s="39" t="s">
        <v>124</v>
      </c>
      <c r="B61" s="68" t="s">
        <v>49</v>
      </c>
      <c r="C61" s="99" t="s">
        <v>135</v>
      </c>
      <c r="D61" s="163" t="s">
        <v>48</v>
      </c>
      <c r="E61" s="67">
        <f>'Memoria de Calculo'!E249</f>
        <v>2</v>
      </c>
      <c r="F61" s="67">
        <f>956.86*1.2332</f>
        <v>1180</v>
      </c>
      <c r="G61" s="76">
        <f>F61*E61</f>
        <v>2360</v>
      </c>
    </row>
    <row r="62" spans="1:7" ht="30">
      <c r="A62" s="39" t="s">
        <v>360</v>
      </c>
      <c r="B62" s="68" t="s">
        <v>72</v>
      </c>
      <c r="C62" s="99" t="s">
        <v>359</v>
      </c>
      <c r="D62" s="75" t="s">
        <v>48</v>
      </c>
      <c r="E62" s="67">
        <f>'Memoria de Calculo'!E252</f>
        <v>2</v>
      </c>
      <c r="F62" s="67">
        <f>553.75*1.1148</f>
        <v>617.32</v>
      </c>
      <c r="G62" s="76">
        <f>F62*E62</f>
        <v>1234.64</v>
      </c>
    </row>
    <row r="63" spans="1:7" ht="19.5" customHeight="1">
      <c r="A63" s="26"/>
      <c r="B63" s="22">
        <v>10</v>
      </c>
      <c r="C63" s="84" t="s">
        <v>67</v>
      </c>
      <c r="D63" s="85"/>
      <c r="E63" s="85"/>
      <c r="F63" s="85"/>
      <c r="G63" s="87">
        <f>SUM(G66:G71)</f>
        <v>37478.15</v>
      </c>
    </row>
    <row r="64" spans="1:7" ht="15" hidden="1">
      <c r="A64" s="74"/>
      <c r="B64" s="74" t="s">
        <v>68</v>
      </c>
      <c r="C64" s="23"/>
      <c r="D64" s="74"/>
      <c r="E64" s="67"/>
      <c r="F64" s="67"/>
      <c r="G64" s="76"/>
    </row>
    <row r="65" spans="1:7" ht="15" hidden="1">
      <c r="A65" s="74"/>
      <c r="B65" s="74" t="s">
        <v>73</v>
      </c>
      <c r="C65" s="23"/>
      <c r="D65" s="74"/>
      <c r="E65" s="67"/>
      <c r="F65" s="67"/>
      <c r="G65" s="76"/>
    </row>
    <row r="66" spans="1:7" ht="30">
      <c r="A66" s="39" t="s">
        <v>132</v>
      </c>
      <c r="B66" s="74" t="s">
        <v>51</v>
      </c>
      <c r="C66" s="23" t="s">
        <v>131</v>
      </c>
      <c r="D66" s="74" t="s">
        <v>36</v>
      </c>
      <c r="E66" s="67">
        <f>'Memoria de Calculo'!E260</f>
        <v>74</v>
      </c>
      <c r="F66" s="67">
        <f>158.78*1.2332*1.21</f>
        <v>236.93</v>
      </c>
      <c r="G66" s="76">
        <f>F66*E66</f>
        <v>17532.82</v>
      </c>
    </row>
    <row r="67" spans="1:7" ht="45">
      <c r="A67" s="39" t="s">
        <v>147</v>
      </c>
      <c r="B67" s="116" t="s">
        <v>52</v>
      </c>
      <c r="C67" s="23" t="s">
        <v>153</v>
      </c>
      <c r="D67" s="74" t="s">
        <v>36</v>
      </c>
      <c r="E67" s="67">
        <f>'Memoria de Calculo'!E264</f>
        <v>74</v>
      </c>
      <c r="F67" s="67">
        <v>197.32</v>
      </c>
      <c r="G67" s="76">
        <f>F67*E67</f>
        <v>14601.68</v>
      </c>
    </row>
    <row r="68" spans="1:7" ht="19.5" customHeight="1">
      <c r="A68" s="26"/>
      <c r="B68" s="22" t="s">
        <v>51</v>
      </c>
      <c r="C68" s="176" t="s">
        <v>140</v>
      </c>
      <c r="D68" s="177"/>
      <c r="E68" s="177"/>
      <c r="F68" s="85"/>
      <c r="G68" s="86"/>
    </row>
    <row r="69" spans="1:7" ht="45">
      <c r="A69" s="39" t="s">
        <v>174</v>
      </c>
      <c r="B69" s="68" t="s">
        <v>393</v>
      </c>
      <c r="C69" s="23" t="s">
        <v>383</v>
      </c>
      <c r="D69" s="163" t="s">
        <v>16</v>
      </c>
      <c r="E69" s="67">
        <f>'Memoria de Calculo'!E270</f>
        <v>35.52</v>
      </c>
      <c r="F69" s="67">
        <f>65.27*1.2332</f>
        <v>80.49</v>
      </c>
      <c r="G69" s="76">
        <f>F69*E69</f>
        <v>2859</v>
      </c>
    </row>
    <row r="70" spans="1:7" ht="36" customHeight="1">
      <c r="A70" s="39" t="s">
        <v>176</v>
      </c>
      <c r="B70" s="68" t="s">
        <v>394</v>
      </c>
      <c r="C70" s="23" t="s">
        <v>175</v>
      </c>
      <c r="D70" s="163" t="s">
        <v>16</v>
      </c>
      <c r="E70" s="67">
        <f>'Memoria de Calculo'!E275</f>
        <v>30.87</v>
      </c>
      <c r="F70" s="67">
        <f>28.18*1.2332</f>
        <v>34.75</v>
      </c>
      <c r="G70" s="76">
        <f>F70*E70</f>
        <v>1072.73</v>
      </c>
    </row>
    <row r="71" spans="1:7" ht="54.75" customHeight="1">
      <c r="A71" s="39" t="s">
        <v>173</v>
      </c>
      <c r="B71" s="68" t="s">
        <v>395</v>
      </c>
      <c r="C71" s="23" t="s">
        <v>172</v>
      </c>
      <c r="D71" s="164" t="s">
        <v>0</v>
      </c>
      <c r="E71" s="67">
        <f>'Memoria de Calculo'!E280</f>
        <v>148</v>
      </c>
      <c r="F71" s="67">
        <f>7.74*1.2332</f>
        <v>9.54</v>
      </c>
      <c r="G71" s="76">
        <f>F71*E71</f>
        <v>1411.92</v>
      </c>
    </row>
    <row r="72" spans="1:7" ht="31.5" customHeight="1">
      <c r="A72" s="181" t="s">
        <v>164</v>
      </c>
      <c r="B72" s="182"/>
      <c r="C72" s="182"/>
      <c r="D72" s="182"/>
      <c r="E72" s="182"/>
      <c r="F72" s="182"/>
      <c r="G72" s="96">
        <f>G10+G22+G39+G55</f>
        <v>3949237.39</v>
      </c>
    </row>
    <row r="73" spans="1:7" ht="15.75" customHeight="1">
      <c r="A73" s="40"/>
      <c r="B73" s="40"/>
      <c r="C73" s="40"/>
      <c r="D73" s="40"/>
      <c r="E73" s="40"/>
      <c r="F73" s="40"/>
      <c r="G73" s="40"/>
    </row>
    <row r="74" spans="1:7" ht="15.75">
      <c r="A74" s="41"/>
      <c r="B74" s="8"/>
      <c r="C74" s="29"/>
      <c r="D74" s="29"/>
      <c r="E74" s="29"/>
      <c r="F74" s="28"/>
      <c r="G74" s="28"/>
    </row>
    <row r="75" spans="1:7" ht="15">
      <c r="A75" s="41"/>
      <c r="B75" s="8"/>
      <c r="C75" s="190" t="s">
        <v>384</v>
      </c>
      <c r="D75" s="190"/>
      <c r="E75" s="190"/>
      <c r="F75" s="28"/>
      <c r="G75" s="28"/>
    </row>
    <row r="76" ht="15">
      <c r="B76" s="7"/>
    </row>
    <row r="77" spans="1:7" ht="74.25" customHeight="1">
      <c r="A77" s="189" t="s">
        <v>163</v>
      </c>
      <c r="B77" s="189"/>
      <c r="C77" s="189"/>
      <c r="D77" s="189"/>
      <c r="E77" s="189"/>
      <c r="F77" s="189"/>
      <c r="G77" s="189"/>
    </row>
  </sheetData>
  <sheetProtection/>
  <mergeCells count="17">
    <mergeCell ref="A77:G77"/>
    <mergeCell ref="C75:E75"/>
    <mergeCell ref="A1:G3"/>
    <mergeCell ref="A5:G5"/>
    <mergeCell ref="A6:G6"/>
    <mergeCell ref="A7:G7"/>
    <mergeCell ref="A8:A9"/>
    <mergeCell ref="B8:B9"/>
    <mergeCell ref="C8:C9"/>
    <mergeCell ref="D8:G8"/>
    <mergeCell ref="C53:E53"/>
    <mergeCell ref="A56:G56"/>
    <mergeCell ref="C68:E68"/>
    <mergeCell ref="A72:F72"/>
    <mergeCell ref="F4:G4"/>
    <mergeCell ref="A4:E4"/>
    <mergeCell ref="A40:G40"/>
  </mergeCells>
  <printOptions horizontalCentered="1"/>
  <pageMargins left="0.5905511811023623" right="0.31496062992125984" top="1.968503937007874" bottom="1.1811023622047245" header="0" footer="0"/>
  <pageSetup horizontalDpi="600" verticalDpi="600" orientation="portrait" paperSize="9" scale="5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8.7109375" style="0" customWidth="1"/>
    <col min="2" max="2" width="56.421875" style="0" customWidth="1"/>
    <col min="3" max="3" width="32.00390625" style="0" customWidth="1"/>
    <col min="4" max="4" width="19.00390625" style="0" customWidth="1"/>
  </cols>
  <sheetData>
    <row r="1" spans="1:4" ht="28.5" customHeight="1">
      <c r="A1" s="209" t="s">
        <v>396</v>
      </c>
      <c r="B1" s="209"/>
      <c r="C1" s="209"/>
      <c r="D1" s="209"/>
    </row>
    <row r="2" spans="1:4" ht="30">
      <c r="A2" s="167" t="s">
        <v>399</v>
      </c>
      <c r="B2" s="167" t="s">
        <v>400</v>
      </c>
      <c r="C2" s="167" t="s">
        <v>398</v>
      </c>
      <c r="D2" s="25" t="s">
        <v>403</v>
      </c>
    </row>
    <row r="3" spans="1:4" ht="19.5" customHeight="1">
      <c r="A3" s="173" t="s">
        <v>397</v>
      </c>
      <c r="B3" s="168" t="s">
        <v>178</v>
      </c>
      <c r="C3" s="169" t="s">
        <v>401</v>
      </c>
      <c r="D3" s="170">
        <v>0.12</v>
      </c>
    </row>
    <row r="4" spans="1:4" ht="19.5" customHeight="1">
      <c r="A4" s="210"/>
      <c r="B4" s="211"/>
      <c r="C4" s="211"/>
      <c r="D4" s="212"/>
    </row>
    <row r="5" spans="1:4" ht="80.25" customHeight="1">
      <c r="A5" s="174" t="s">
        <v>397</v>
      </c>
      <c r="B5" s="171" t="s">
        <v>402</v>
      </c>
      <c r="C5" s="175" t="s">
        <v>406</v>
      </c>
      <c r="D5" s="172">
        <v>0.1215</v>
      </c>
    </row>
    <row r="6" spans="1:4" ht="19.5" customHeight="1">
      <c r="A6" s="210"/>
      <c r="B6" s="211"/>
      <c r="C6" s="211"/>
      <c r="D6" s="212"/>
    </row>
    <row r="7" spans="1:4" ht="80.25" customHeight="1">
      <c r="A7" s="174" t="s">
        <v>397</v>
      </c>
      <c r="B7" s="171" t="s">
        <v>87</v>
      </c>
      <c r="C7" s="25" t="s">
        <v>407</v>
      </c>
      <c r="D7" s="172">
        <v>0.1148</v>
      </c>
    </row>
    <row r="8" spans="1:4" ht="19.5" customHeight="1">
      <c r="A8" s="210"/>
      <c r="B8" s="211"/>
      <c r="C8" s="211"/>
      <c r="D8" s="212"/>
    </row>
    <row r="9" spans="1:4" ht="57" customHeight="1">
      <c r="A9" s="174" t="s">
        <v>404</v>
      </c>
      <c r="B9" s="171" t="s">
        <v>405</v>
      </c>
      <c r="C9" s="167" t="s">
        <v>401</v>
      </c>
      <c r="D9" s="172">
        <v>0.21</v>
      </c>
    </row>
  </sheetData>
  <sheetProtection/>
  <mergeCells count="4">
    <mergeCell ref="A1:D1"/>
    <mergeCell ref="A4:D4"/>
    <mergeCell ref="A8:D8"/>
    <mergeCell ref="A6:D6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75" zoomScaleNormal="75" zoomScaleSheetLayoutView="75" zoomScalePageLayoutView="0" workbookViewId="0" topLeftCell="A1">
      <selection activeCell="R29" sqref="R29"/>
    </sheetView>
  </sheetViews>
  <sheetFormatPr defaultColWidth="12.57421875" defaultRowHeight="12.75"/>
  <cols>
    <col min="1" max="1" width="7.00390625" style="5" customWidth="1"/>
    <col min="2" max="2" width="31.7109375" style="5" customWidth="1"/>
    <col min="3" max="3" width="16.00390625" style="12" customWidth="1"/>
    <col min="4" max="4" width="7.140625" style="5" customWidth="1"/>
    <col min="5" max="5" width="6.7109375" style="5" customWidth="1"/>
    <col min="6" max="6" width="7.140625" style="5" customWidth="1"/>
    <col min="7" max="7" width="11.57421875" style="5" customWidth="1"/>
    <col min="8" max="8" width="12.7109375" style="5" customWidth="1"/>
    <col min="9" max="9" width="12.57421875" style="5" customWidth="1"/>
    <col min="10" max="10" width="13.57421875" style="5" customWidth="1"/>
    <col min="11" max="11" width="13.140625" style="5" customWidth="1"/>
    <col min="12" max="12" width="12.57421875" style="5" customWidth="1"/>
    <col min="13" max="13" width="13.140625" style="5" customWidth="1"/>
    <col min="14" max="14" width="13.7109375" style="5" customWidth="1"/>
    <col min="15" max="15" width="12.8515625" style="5" customWidth="1"/>
    <col min="16" max="16" width="13.57421875" style="5" customWidth="1"/>
    <col min="17" max="17" width="13.7109375" style="5" customWidth="1"/>
    <col min="18" max="18" width="13.140625" style="5" customWidth="1"/>
    <col min="19" max="19" width="15.7109375" style="5" customWidth="1"/>
    <col min="20" max="16384" width="12.57421875" style="5" customWidth="1"/>
  </cols>
  <sheetData>
    <row r="1" spans="1:19" ht="96.75" customHeight="1">
      <c r="A1" s="215" t="s">
        <v>192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19" ht="24" customHeight="1">
      <c r="A2" s="218" t="s">
        <v>156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27.75" customHeight="1">
      <c r="A3" s="219" t="s">
        <v>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</row>
    <row r="4" spans="1:19" ht="15.75" customHeight="1">
      <c r="A4" s="223" t="s">
        <v>7</v>
      </c>
      <c r="B4" s="222" t="s">
        <v>12</v>
      </c>
      <c r="C4" s="222" t="s">
        <v>13</v>
      </c>
      <c r="D4" s="132"/>
      <c r="E4" s="132"/>
      <c r="F4" s="132"/>
      <c r="G4" s="222" t="s">
        <v>27</v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spans="1:19" ht="38.25" customHeight="1">
      <c r="A5" s="223"/>
      <c r="B5" s="222"/>
      <c r="C5" s="222"/>
      <c r="D5" s="143" t="s">
        <v>338</v>
      </c>
      <c r="E5" s="143" t="s">
        <v>339</v>
      </c>
      <c r="F5" s="143" t="s">
        <v>340</v>
      </c>
      <c r="G5" s="143" t="s">
        <v>341</v>
      </c>
      <c r="H5" s="143" t="s">
        <v>353</v>
      </c>
      <c r="I5" s="143" t="s">
        <v>342</v>
      </c>
      <c r="J5" s="143" t="s">
        <v>343</v>
      </c>
      <c r="K5" s="143" t="s">
        <v>344</v>
      </c>
      <c r="L5" s="144" t="s">
        <v>345</v>
      </c>
      <c r="M5" s="144" t="s">
        <v>346</v>
      </c>
      <c r="N5" s="143" t="s">
        <v>347</v>
      </c>
      <c r="O5" s="143" t="s">
        <v>348</v>
      </c>
      <c r="P5" s="143" t="s">
        <v>349</v>
      </c>
      <c r="Q5" s="143" t="s">
        <v>350</v>
      </c>
      <c r="R5" s="143" t="s">
        <v>351</v>
      </c>
      <c r="S5" s="133" t="s">
        <v>91</v>
      </c>
    </row>
    <row r="6" spans="1:19" ht="15">
      <c r="A6" s="213">
        <v>1</v>
      </c>
      <c r="B6" s="214" t="s">
        <v>8</v>
      </c>
      <c r="C6" s="134">
        <f>'Planilha Orçamentaria'!G11</f>
        <v>74776.67</v>
      </c>
      <c r="D6" s="226" t="s">
        <v>352</v>
      </c>
      <c r="E6" s="227"/>
      <c r="F6" s="228"/>
      <c r="G6" s="135">
        <f>C6*0.45</f>
        <v>33649.5</v>
      </c>
      <c r="H6" s="135">
        <f>C6*0.05</f>
        <v>3738.83</v>
      </c>
      <c r="I6" s="135">
        <f>C6*0.05</f>
        <v>3738.83</v>
      </c>
      <c r="J6" s="135">
        <f>C6*0.05</f>
        <v>3738.83</v>
      </c>
      <c r="K6" s="135">
        <f>C6*0.05</f>
        <v>3738.83</v>
      </c>
      <c r="L6" s="135">
        <f>C6*0.05</f>
        <v>3738.83</v>
      </c>
      <c r="M6" s="135">
        <f>C6*0.05</f>
        <v>3738.83</v>
      </c>
      <c r="N6" s="135">
        <f>C6*0.05</f>
        <v>3738.83</v>
      </c>
      <c r="O6" s="135">
        <f>C6*0.05</f>
        <v>3738.83</v>
      </c>
      <c r="P6" s="135">
        <f>C6*0.05</f>
        <v>3738.83</v>
      </c>
      <c r="Q6" s="135">
        <f>C6*0.05</f>
        <v>3738.83</v>
      </c>
      <c r="R6" s="135">
        <f>C6-(Q6+P6+O6+N6+M6+L6+K6+J6+I6+H6+G6)</f>
        <v>3738.87</v>
      </c>
      <c r="S6" s="135">
        <f>SUM(G6:R6)</f>
        <v>74776.67</v>
      </c>
    </row>
    <row r="7" spans="1:19" ht="15">
      <c r="A7" s="213"/>
      <c r="B7" s="214"/>
      <c r="C7" s="136">
        <f>C6/C27</f>
        <v>0.0189</v>
      </c>
      <c r="D7" s="229"/>
      <c r="E7" s="230"/>
      <c r="F7" s="231"/>
      <c r="G7" s="137">
        <f>G6/C6</f>
        <v>0.45</v>
      </c>
      <c r="H7" s="137">
        <f>H6/C6</f>
        <v>0.05</v>
      </c>
      <c r="I7" s="137">
        <f>I6/C6</f>
        <v>0.05</v>
      </c>
      <c r="J7" s="137">
        <f>J6/C6</f>
        <v>0.05</v>
      </c>
      <c r="K7" s="137">
        <f>K6/C6</f>
        <v>0.05</v>
      </c>
      <c r="L7" s="137">
        <f>L6/C6</f>
        <v>0.05</v>
      </c>
      <c r="M7" s="137">
        <f>M6/C6</f>
        <v>0.05</v>
      </c>
      <c r="N7" s="137">
        <f>N6/C6</f>
        <v>0.05</v>
      </c>
      <c r="O7" s="137">
        <f>O6/C6</f>
        <v>0.05</v>
      </c>
      <c r="P7" s="137">
        <f>P6/C6</f>
        <v>0.05</v>
      </c>
      <c r="Q7" s="137">
        <f>Q6/C6</f>
        <v>0.05</v>
      </c>
      <c r="R7" s="137">
        <f>R6/C6</f>
        <v>0.05</v>
      </c>
      <c r="S7" s="137">
        <f>SUM(G7:R7)</f>
        <v>1</v>
      </c>
    </row>
    <row r="8" spans="1:19" ht="15">
      <c r="A8" s="213">
        <v>2</v>
      </c>
      <c r="B8" s="214" t="s">
        <v>21</v>
      </c>
      <c r="C8" s="138">
        <f>'Planilha Orçamentaria'!G23</f>
        <v>3248884.49</v>
      </c>
      <c r="D8" s="139"/>
      <c r="E8" s="139"/>
      <c r="F8" s="139"/>
      <c r="G8" s="139">
        <f>C8*0.05</f>
        <v>162444.22</v>
      </c>
      <c r="H8" s="139">
        <f>C8*0.05</f>
        <v>162444.22</v>
      </c>
      <c r="I8" s="139">
        <f>C8*0.05</f>
        <v>162444.22</v>
      </c>
      <c r="J8" s="139">
        <f>C8*0.07</f>
        <v>227421.91</v>
      </c>
      <c r="K8" s="139">
        <f>C8*0.07</f>
        <v>227421.91</v>
      </c>
      <c r="L8" s="139">
        <f>C8*0.12</f>
        <v>389866.14</v>
      </c>
      <c r="M8" s="139">
        <f>C8*0.13</f>
        <v>422354.98</v>
      </c>
      <c r="N8" s="139">
        <f>C8*0.1</f>
        <v>324888.45</v>
      </c>
      <c r="O8" s="139">
        <f>C8*0.1</f>
        <v>324888.45</v>
      </c>
      <c r="P8" s="139">
        <f>C8*0.1</f>
        <v>324888.45</v>
      </c>
      <c r="Q8" s="139">
        <f>C8*0.08</f>
        <v>259910.76</v>
      </c>
      <c r="R8" s="139">
        <f>C8*0.08</f>
        <v>259910.76</v>
      </c>
      <c r="S8" s="139">
        <f>SUM(G8:R8)+0.02</f>
        <v>3248884.49</v>
      </c>
    </row>
    <row r="9" spans="1:19" ht="15">
      <c r="A9" s="213"/>
      <c r="B9" s="214"/>
      <c r="C9" s="136">
        <f>C8/C27</f>
        <v>0.8227</v>
      </c>
      <c r="D9" s="137"/>
      <c r="E9" s="137"/>
      <c r="F9" s="137"/>
      <c r="G9" s="137">
        <f>G8/C8</f>
        <v>0.05</v>
      </c>
      <c r="H9" s="137">
        <f>H8/C8</f>
        <v>0.05</v>
      </c>
      <c r="I9" s="137">
        <f>I8/C8</f>
        <v>0.05</v>
      </c>
      <c r="J9" s="137">
        <f>J8/C8</f>
        <v>0.07</v>
      </c>
      <c r="K9" s="137">
        <f>K8/C8</f>
        <v>0.07</v>
      </c>
      <c r="L9" s="137">
        <f>L8/C8</f>
        <v>0.12</v>
      </c>
      <c r="M9" s="137">
        <f>M8/C8</f>
        <v>0.13</v>
      </c>
      <c r="N9" s="137">
        <f>N8/C8</f>
        <v>0.1</v>
      </c>
      <c r="O9" s="137">
        <f>O8/C8</f>
        <v>0.1</v>
      </c>
      <c r="P9" s="137">
        <f>P8/C8</f>
        <v>0.1</v>
      </c>
      <c r="Q9" s="137">
        <f>Q8/C8</f>
        <v>0.08</v>
      </c>
      <c r="R9" s="137">
        <f>R8/C8</f>
        <v>0.08</v>
      </c>
      <c r="S9" s="137">
        <f>SUM(G9:R9)</f>
        <v>1</v>
      </c>
    </row>
    <row r="10" spans="1:19" ht="15">
      <c r="A10" s="213">
        <v>3</v>
      </c>
      <c r="B10" s="214" t="s">
        <v>87</v>
      </c>
      <c r="C10" s="138">
        <f>'Planilha Orçamentaria'!G30</f>
        <v>215520.45</v>
      </c>
      <c r="D10" s="139"/>
      <c r="E10" s="139"/>
      <c r="F10" s="139"/>
      <c r="G10" s="139">
        <f>C10*0.15</f>
        <v>32328.07</v>
      </c>
      <c r="H10" s="139">
        <f>C10*0.2</f>
        <v>43104.09</v>
      </c>
      <c r="I10" s="139">
        <f>C10*0.2</f>
        <v>43104.09</v>
      </c>
      <c r="J10" s="139">
        <f>C10*0.2</f>
        <v>43104.09</v>
      </c>
      <c r="K10" s="139">
        <f>C10*0.2</f>
        <v>43104.09</v>
      </c>
      <c r="L10" s="139">
        <f>C10*0.05-0.02</f>
        <v>10776</v>
      </c>
      <c r="M10" s="139"/>
      <c r="N10" s="139"/>
      <c r="O10" s="139"/>
      <c r="P10" s="139"/>
      <c r="Q10" s="139"/>
      <c r="R10" s="139"/>
      <c r="S10" s="139">
        <f>SUM(G10:L10)</f>
        <v>215520.43</v>
      </c>
    </row>
    <row r="11" spans="1:19" ht="15">
      <c r="A11" s="213"/>
      <c r="B11" s="214"/>
      <c r="C11" s="136">
        <f>C10/C27</f>
        <v>0.0546</v>
      </c>
      <c r="D11" s="137"/>
      <c r="E11" s="137"/>
      <c r="F11" s="137"/>
      <c r="G11" s="137">
        <f>G10/C10</f>
        <v>0.15</v>
      </c>
      <c r="H11" s="137">
        <f>H10/C10</f>
        <v>0.2</v>
      </c>
      <c r="I11" s="137">
        <f>I10/C10</f>
        <v>0.2</v>
      </c>
      <c r="J11" s="137">
        <f>J10/C10</f>
        <v>0.2</v>
      </c>
      <c r="K11" s="137">
        <f>K10/C10</f>
        <v>0.2</v>
      </c>
      <c r="L11" s="137">
        <f>L10/C10</f>
        <v>0.05</v>
      </c>
      <c r="M11" s="137"/>
      <c r="N11" s="137"/>
      <c r="O11" s="137"/>
      <c r="P11" s="137"/>
      <c r="Q11" s="137"/>
      <c r="R11" s="137"/>
      <c r="S11" s="137">
        <f>SUM(G11:L11)</f>
        <v>1</v>
      </c>
    </row>
    <row r="12" spans="1:19" ht="15">
      <c r="A12" s="213">
        <v>4</v>
      </c>
      <c r="B12" s="214" t="s">
        <v>88</v>
      </c>
      <c r="C12" s="134">
        <f>'Planilha Orçamentaria'!G41</f>
        <v>51933.05</v>
      </c>
      <c r="D12" s="135"/>
      <c r="E12" s="135"/>
      <c r="F12" s="135"/>
      <c r="G12" s="135"/>
      <c r="H12" s="135">
        <f>C12*0.2</f>
        <v>10386.61</v>
      </c>
      <c r="I12" s="135">
        <f>C12*0.2</f>
        <v>10386.61</v>
      </c>
      <c r="J12" s="135">
        <f>C12*0.2</f>
        <v>10386.61</v>
      </c>
      <c r="K12" s="135">
        <f>C12*0.2</f>
        <v>10386.61</v>
      </c>
      <c r="L12" s="135">
        <f>C12*0.2+0.02</f>
        <v>10386.63</v>
      </c>
      <c r="M12" s="135"/>
      <c r="N12" s="135"/>
      <c r="O12" s="135"/>
      <c r="P12" s="135"/>
      <c r="Q12" s="135"/>
      <c r="R12" s="135"/>
      <c r="S12" s="135">
        <f>SUM(H12:L12)</f>
        <v>51933.07</v>
      </c>
    </row>
    <row r="13" spans="1:19" ht="15">
      <c r="A13" s="213"/>
      <c r="B13" s="214"/>
      <c r="C13" s="136">
        <f>C12/C27</f>
        <v>0.0132</v>
      </c>
      <c r="D13" s="137"/>
      <c r="E13" s="137"/>
      <c r="F13" s="137"/>
      <c r="G13" s="137"/>
      <c r="H13" s="137">
        <f>H12/C12</f>
        <v>0.2</v>
      </c>
      <c r="I13" s="137">
        <f>I12/C12</f>
        <v>0.2</v>
      </c>
      <c r="J13" s="137">
        <f>J12/C12</f>
        <v>0.2</v>
      </c>
      <c r="K13" s="137">
        <f>K12/C12</f>
        <v>0.2</v>
      </c>
      <c r="L13" s="137">
        <f>L12/C12</f>
        <v>0.2</v>
      </c>
      <c r="M13" s="137"/>
      <c r="N13" s="137"/>
      <c r="O13" s="137"/>
      <c r="P13" s="137"/>
      <c r="Q13" s="137"/>
      <c r="R13" s="137"/>
      <c r="S13" s="137">
        <f>SUM(H13:L13)</f>
        <v>1</v>
      </c>
    </row>
    <row r="14" spans="1:19" ht="15">
      <c r="A14" s="213">
        <v>5</v>
      </c>
      <c r="B14" s="214" t="s">
        <v>89</v>
      </c>
      <c r="C14" s="138">
        <f>'Planilha Orçamentaria'!G46</f>
        <v>100377.76</v>
      </c>
      <c r="D14" s="139"/>
      <c r="E14" s="139"/>
      <c r="F14" s="139"/>
      <c r="G14" s="139"/>
      <c r="H14" s="139">
        <f>C14*0.25</f>
        <v>25094.44</v>
      </c>
      <c r="I14" s="139">
        <f>C14*0.25</f>
        <v>25094.44</v>
      </c>
      <c r="J14" s="139">
        <f>C14*0.25</f>
        <v>25094.44</v>
      </c>
      <c r="K14" s="139">
        <f>C14*0.25</f>
        <v>25094.44</v>
      </c>
      <c r="L14" s="139"/>
      <c r="M14" s="139"/>
      <c r="N14" s="139"/>
      <c r="O14" s="139"/>
      <c r="P14" s="139"/>
      <c r="Q14" s="139"/>
      <c r="R14" s="139"/>
      <c r="S14" s="139">
        <f>SUM(G14:K14)-0.02</f>
        <v>100377.74</v>
      </c>
    </row>
    <row r="15" spans="1:19" ht="15">
      <c r="A15" s="213"/>
      <c r="B15" s="214"/>
      <c r="C15" s="136">
        <f>C14/C27</f>
        <v>0.0254</v>
      </c>
      <c r="D15" s="137"/>
      <c r="E15" s="137"/>
      <c r="F15" s="137"/>
      <c r="G15" s="137"/>
      <c r="H15" s="137">
        <f>H14/C14</f>
        <v>0.25</v>
      </c>
      <c r="I15" s="137">
        <f>I14/C14</f>
        <v>0.25</v>
      </c>
      <c r="J15" s="137">
        <f>J14/C14</f>
        <v>0.25</v>
      </c>
      <c r="K15" s="137">
        <f>K14/C14</f>
        <v>0.25</v>
      </c>
      <c r="L15" s="137"/>
      <c r="M15" s="137"/>
      <c r="N15" s="137"/>
      <c r="O15" s="137"/>
      <c r="P15" s="137"/>
      <c r="Q15" s="137"/>
      <c r="R15" s="137"/>
      <c r="S15" s="137">
        <f>SUM(G15:K15)</f>
        <v>1</v>
      </c>
    </row>
    <row r="16" spans="1:19" ht="15">
      <c r="A16" s="213">
        <v>6</v>
      </c>
      <c r="B16" s="214" t="s">
        <v>90</v>
      </c>
      <c r="C16" s="138">
        <f>'Planilha Orçamentaria'!G48</f>
        <v>34978.02</v>
      </c>
      <c r="D16" s="139"/>
      <c r="E16" s="139"/>
      <c r="F16" s="139"/>
      <c r="G16" s="139"/>
      <c r="H16" s="139"/>
      <c r="I16" s="139">
        <f>C16*0.15</f>
        <v>5246.7</v>
      </c>
      <c r="J16" s="139">
        <f>C16*0.25</f>
        <v>8744.51</v>
      </c>
      <c r="K16" s="139">
        <f>C16*0.25</f>
        <v>8744.51</v>
      </c>
      <c r="L16" s="139">
        <f>C16*0.2</f>
        <v>6995.6</v>
      </c>
      <c r="M16" s="139">
        <f>C16*0.15</f>
        <v>5246.7</v>
      </c>
      <c r="N16" s="139"/>
      <c r="O16" s="139"/>
      <c r="P16" s="139"/>
      <c r="Q16" s="139"/>
      <c r="R16" s="139"/>
      <c r="S16" s="139">
        <f>SUM(I16:M16)</f>
        <v>34978.02</v>
      </c>
    </row>
    <row r="17" spans="1:19" ht="15">
      <c r="A17" s="213"/>
      <c r="B17" s="214"/>
      <c r="C17" s="136">
        <f>C16/C27</f>
        <v>0.0089</v>
      </c>
      <c r="D17" s="137"/>
      <c r="E17" s="137"/>
      <c r="F17" s="137"/>
      <c r="G17" s="137"/>
      <c r="H17" s="137"/>
      <c r="I17" s="137">
        <f>I16/C16</f>
        <v>0.15</v>
      </c>
      <c r="J17" s="137">
        <f>J16/C16</f>
        <v>0.25</v>
      </c>
      <c r="K17" s="137">
        <f>K16/C16</f>
        <v>0.25</v>
      </c>
      <c r="L17" s="137">
        <f>L16/C16</f>
        <v>0.2</v>
      </c>
      <c r="M17" s="137">
        <f>M16/C16</f>
        <v>0.15</v>
      </c>
      <c r="N17" s="137"/>
      <c r="O17" s="137"/>
      <c r="P17" s="137"/>
      <c r="Q17" s="137"/>
      <c r="R17" s="137"/>
      <c r="S17" s="137">
        <f>SUM(I17:M17)</f>
        <v>1</v>
      </c>
    </row>
    <row r="18" spans="1:19" ht="15">
      <c r="A18" s="213">
        <v>7</v>
      </c>
      <c r="B18" s="214" t="s">
        <v>50</v>
      </c>
      <c r="C18" s="138">
        <f>'Planilha Orçamentaria'!G50</f>
        <v>122846.66</v>
      </c>
      <c r="D18" s="139"/>
      <c r="E18" s="139"/>
      <c r="F18" s="139"/>
      <c r="G18" s="139"/>
      <c r="H18" s="139"/>
      <c r="I18" s="139">
        <f>C18*0.2</f>
        <v>24569.33</v>
      </c>
      <c r="J18" s="139">
        <f>C18*0.2</f>
        <v>24569.33</v>
      </c>
      <c r="K18" s="139">
        <f>C18*0.2</f>
        <v>24569.33</v>
      </c>
      <c r="L18" s="139">
        <f>C18*0.2</f>
        <v>24569.33</v>
      </c>
      <c r="M18" s="139">
        <f>C18*0.2</f>
        <v>24569.33</v>
      </c>
      <c r="N18" s="139"/>
      <c r="O18" s="139"/>
      <c r="P18" s="139"/>
      <c r="Q18" s="139"/>
      <c r="R18" s="139"/>
      <c r="S18" s="139">
        <f>SUM(I18:M18)+0.01</f>
        <v>122846.66</v>
      </c>
    </row>
    <row r="19" spans="1:19" ht="15">
      <c r="A19" s="213"/>
      <c r="B19" s="214"/>
      <c r="C19" s="136">
        <f>C18/C27</f>
        <v>0.0311</v>
      </c>
      <c r="D19" s="137"/>
      <c r="E19" s="137"/>
      <c r="F19" s="137"/>
      <c r="G19" s="137"/>
      <c r="H19" s="137"/>
      <c r="I19" s="137">
        <f>I18/C18</f>
        <v>0.2</v>
      </c>
      <c r="J19" s="137">
        <f>J18/C18</f>
        <v>0.2</v>
      </c>
      <c r="K19" s="137">
        <f>K18/C18</f>
        <v>0.2</v>
      </c>
      <c r="L19" s="137">
        <f>L18/C18</f>
        <v>0.2</v>
      </c>
      <c r="M19" s="137">
        <f>M18/C18</f>
        <v>0.2</v>
      </c>
      <c r="N19" s="137"/>
      <c r="O19" s="137"/>
      <c r="P19" s="137"/>
      <c r="Q19" s="137"/>
      <c r="R19" s="137"/>
      <c r="S19" s="137">
        <f>SUM(I19:M19)</f>
        <v>1</v>
      </c>
    </row>
    <row r="20" spans="1:19" ht="15">
      <c r="A20" s="213">
        <v>8</v>
      </c>
      <c r="B20" s="214" t="s">
        <v>160</v>
      </c>
      <c r="C20" s="138">
        <f>'Planilha Orçamentaria'!G57</f>
        <v>58847.5</v>
      </c>
      <c r="D20" s="139"/>
      <c r="E20" s="139"/>
      <c r="F20" s="139"/>
      <c r="G20" s="139"/>
      <c r="H20" s="139"/>
      <c r="I20" s="139"/>
      <c r="J20" s="139">
        <f>C20*0.25</f>
        <v>14711.88</v>
      </c>
      <c r="K20" s="139">
        <f>C20*0.35</f>
        <v>20596.63</v>
      </c>
      <c r="L20" s="139">
        <f>C20*0.4</f>
        <v>23539</v>
      </c>
      <c r="M20" s="139"/>
      <c r="N20" s="139"/>
      <c r="O20" s="139"/>
      <c r="P20" s="139"/>
      <c r="Q20" s="139"/>
      <c r="R20" s="139"/>
      <c r="S20" s="139">
        <f>SUM(J20:L20)</f>
        <v>58847.51</v>
      </c>
    </row>
    <row r="21" spans="1:19" ht="15">
      <c r="A21" s="213"/>
      <c r="B21" s="214"/>
      <c r="C21" s="136">
        <f>C20/C27</f>
        <v>0.0149</v>
      </c>
      <c r="D21" s="137"/>
      <c r="E21" s="137"/>
      <c r="F21" s="137"/>
      <c r="G21" s="137"/>
      <c r="H21" s="137"/>
      <c r="I21" s="137"/>
      <c r="J21" s="137">
        <f>J20/C20</f>
        <v>0.25</v>
      </c>
      <c r="K21" s="137">
        <f>K20/C20</f>
        <v>0.35</v>
      </c>
      <c r="L21" s="137">
        <f>L20/C20</f>
        <v>0.4</v>
      </c>
      <c r="M21" s="137"/>
      <c r="N21" s="137"/>
      <c r="O21" s="137"/>
      <c r="P21" s="137"/>
      <c r="Q21" s="137"/>
      <c r="R21" s="137"/>
      <c r="S21" s="137">
        <f>SUM(J21:L21)</f>
        <v>1</v>
      </c>
    </row>
    <row r="22" spans="1:19" ht="15" customHeight="1">
      <c r="A22" s="213">
        <v>9</v>
      </c>
      <c r="B22" s="214" t="s">
        <v>136</v>
      </c>
      <c r="C22" s="138">
        <f>'Planilha Orçamentaria'!G60</f>
        <v>3594.64</v>
      </c>
      <c r="D22" s="139"/>
      <c r="E22" s="139"/>
      <c r="F22" s="139"/>
      <c r="G22" s="139"/>
      <c r="H22" s="139"/>
      <c r="I22" s="139"/>
      <c r="J22" s="139">
        <f>C22*0.25</f>
        <v>898.66</v>
      </c>
      <c r="K22" s="139">
        <f>C22*0.35</f>
        <v>1258.12</v>
      </c>
      <c r="L22" s="139">
        <f>C22*0.4</f>
        <v>1437.86</v>
      </c>
      <c r="M22" s="139"/>
      <c r="N22" s="139"/>
      <c r="O22" s="139"/>
      <c r="P22" s="139"/>
      <c r="Q22" s="139"/>
      <c r="R22" s="139"/>
      <c r="S22" s="139">
        <f>SUM(J22:L22)</f>
        <v>3594.64</v>
      </c>
    </row>
    <row r="23" spans="1:19" ht="15">
      <c r="A23" s="213"/>
      <c r="B23" s="214"/>
      <c r="C23" s="136">
        <f>C22/C27</f>
        <v>0.0009</v>
      </c>
      <c r="D23" s="137"/>
      <c r="E23" s="137"/>
      <c r="F23" s="137"/>
      <c r="G23" s="137"/>
      <c r="H23" s="137"/>
      <c r="I23" s="137"/>
      <c r="J23" s="137">
        <f>J22/C22</f>
        <v>0.25</v>
      </c>
      <c r="K23" s="137">
        <f>K22/C22</f>
        <v>0.35</v>
      </c>
      <c r="L23" s="137">
        <f>L22/C22</f>
        <v>0.4</v>
      </c>
      <c r="M23" s="137"/>
      <c r="N23" s="137"/>
      <c r="O23" s="137"/>
      <c r="P23" s="137"/>
      <c r="Q23" s="137"/>
      <c r="R23" s="137"/>
      <c r="S23" s="137">
        <f>SUM(J23:L23)</f>
        <v>1</v>
      </c>
    </row>
    <row r="24" spans="1:19" ht="15">
      <c r="A24" s="213">
        <v>10</v>
      </c>
      <c r="B24" s="214" t="s">
        <v>67</v>
      </c>
      <c r="C24" s="138">
        <f>'Planilha Orçamentaria'!G63</f>
        <v>37478.15</v>
      </c>
      <c r="D24" s="139"/>
      <c r="E24" s="139"/>
      <c r="F24" s="139"/>
      <c r="G24" s="139"/>
      <c r="H24" s="139"/>
      <c r="I24" s="139"/>
      <c r="J24" s="139">
        <f>C24*0.25</f>
        <v>9369.54</v>
      </c>
      <c r="K24" s="139">
        <f>C24*0.25</f>
        <v>9369.54</v>
      </c>
      <c r="L24" s="139">
        <f>C24*0.25</f>
        <v>9369.54</v>
      </c>
      <c r="M24" s="139">
        <f>C24*0.25</f>
        <v>9369.54</v>
      </c>
      <c r="N24" s="139"/>
      <c r="O24" s="139"/>
      <c r="P24" s="139"/>
      <c r="Q24" s="139"/>
      <c r="R24" s="139"/>
      <c r="S24" s="139">
        <f>SUM(J24:M24)+0.01</f>
        <v>37478.17</v>
      </c>
    </row>
    <row r="25" spans="1:19" ht="15">
      <c r="A25" s="213"/>
      <c r="B25" s="214"/>
      <c r="C25" s="136">
        <f>C24/C27</f>
        <v>0.0095</v>
      </c>
      <c r="D25" s="137"/>
      <c r="E25" s="137"/>
      <c r="F25" s="137"/>
      <c r="G25" s="137"/>
      <c r="H25" s="137"/>
      <c r="I25" s="137"/>
      <c r="J25" s="137">
        <f>J24/C24</f>
        <v>0.25</v>
      </c>
      <c r="K25" s="137">
        <f>K24/C24</f>
        <v>0.25</v>
      </c>
      <c r="L25" s="137">
        <f>L24/C24</f>
        <v>0.25</v>
      </c>
      <c r="M25" s="137">
        <f>M24/C24</f>
        <v>0.25</v>
      </c>
      <c r="N25" s="137"/>
      <c r="O25" s="137"/>
      <c r="P25" s="137"/>
      <c r="Q25" s="137"/>
      <c r="R25" s="137"/>
      <c r="S25" s="137">
        <f>SUM(J25:M25)</f>
        <v>1</v>
      </c>
    </row>
    <row r="26" spans="1:19" ht="1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</row>
    <row r="27" spans="1:19" ht="15">
      <c r="A27" s="140"/>
      <c r="B27" s="135" t="s">
        <v>9</v>
      </c>
      <c r="C27" s="141">
        <f>C6+C8+C10+C12+C14+C16+C18+C20+C22+C24</f>
        <v>3949237.39</v>
      </c>
      <c r="D27" s="226" t="s">
        <v>352</v>
      </c>
      <c r="E27" s="227"/>
      <c r="F27" s="228"/>
      <c r="G27" s="135">
        <f>G6+G8+G10+G12+G14</f>
        <v>228421.79</v>
      </c>
      <c r="H27" s="135">
        <f>H6+H8+H10+H12+H14</f>
        <v>244768.19</v>
      </c>
      <c r="I27" s="135">
        <f>I6+I8+I10+I12+I14+I16+I18</f>
        <v>274584.22</v>
      </c>
      <c r="J27" s="135">
        <f>J6+J8+J10+J12+J14+J16+J18+J20+J22+J24</f>
        <v>368039.8</v>
      </c>
      <c r="K27" s="135">
        <f>K6+K8+K10+K12+K14+K16+K18+K20+K22+K24</f>
        <v>374284.01</v>
      </c>
      <c r="L27" s="135">
        <f>L6+L8+L10+L12+L16+L18+L20+L22+L24</f>
        <v>480678.93</v>
      </c>
      <c r="M27" s="135">
        <f>M6+M8+M16+M18+M24</f>
        <v>465279.38</v>
      </c>
      <c r="N27" s="135">
        <f>N6+N8</f>
        <v>328627.28</v>
      </c>
      <c r="O27" s="135">
        <f>O6+O8</f>
        <v>328627.28</v>
      </c>
      <c r="P27" s="135">
        <f>P6+P8</f>
        <v>328627.28</v>
      </c>
      <c r="Q27" s="135">
        <f>Q6+Q8</f>
        <v>263649.59</v>
      </c>
      <c r="R27" s="135">
        <f>R6+R8</f>
        <v>263649.63</v>
      </c>
      <c r="S27" s="135">
        <f>R28</f>
        <v>3949237.39</v>
      </c>
    </row>
    <row r="28" spans="1:19" ht="15">
      <c r="A28" s="140"/>
      <c r="B28" s="135" t="s">
        <v>10</v>
      </c>
      <c r="C28" s="142">
        <f>C7+C9+C11+C13+C15+C17+C19+C21+C23+C25</f>
        <v>1.0001</v>
      </c>
      <c r="D28" s="229"/>
      <c r="E28" s="230"/>
      <c r="F28" s="231"/>
      <c r="G28" s="135">
        <f>G27</f>
        <v>228421.79</v>
      </c>
      <c r="H28" s="135">
        <f>G28+H27</f>
        <v>473189.98</v>
      </c>
      <c r="I28" s="135">
        <f>H28+I27</f>
        <v>747774.2</v>
      </c>
      <c r="J28" s="135">
        <f>J27+I28</f>
        <v>1115814</v>
      </c>
      <c r="K28" s="135">
        <f>K27+J28</f>
        <v>1490098.01</v>
      </c>
      <c r="L28" s="135">
        <f aca="true" t="shared" si="0" ref="L28:Q28">K28+L27</f>
        <v>1970776.94</v>
      </c>
      <c r="M28" s="135">
        <f t="shared" si="0"/>
        <v>2436056.32</v>
      </c>
      <c r="N28" s="135">
        <f t="shared" si="0"/>
        <v>2764683.6</v>
      </c>
      <c r="O28" s="135">
        <f t="shared" si="0"/>
        <v>3093310.88</v>
      </c>
      <c r="P28" s="135">
        <f t="shared" si="0"/>
        <v>3421938.16</v>
      </c>
      <c r="Q28" s="135">
        <f t="shared" si="0"/>
        <v>3685587.75</v>
      </c>
      <c r="R28" s="135">
        <f>Q28+R27+0.01</f>
        <v>3949237.39</v>
      </c>
      <c r="S28" s="142">
        <f>S27/C27</f>
        <v>1</v>
      </c>
    </row>
    <row r="30" spans="2:3" ht="26.25" customHeight="1">
      <c r="B30" s="98" t="s">
        <v>384</v>
      </c>
      <c r="C30" s="97"/>
    </row>
    <row r="31" spans="2:19" ht="15.75">
      <c r="B31" s="17"/>
      <c r="S31" s="9"/>
    </row>
    <row r="32" spans="2:3" ht="15.75">
      <c r="B32" s="233"/>
      <c r="C32" s="233"/>
    </row>
    <row r="33" spans="1:19" ht="76.5" customHeight="1">
      <c r="A33" s="225" t="s">
        <v>165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</row>
    <row r="34" spans="2:3" ht="15">
      <c r="B34" s="13"/>
      <c r="C34" s="6"/>
    </row>
    <row r="35" spans="1:2" ht="15">
      <c r="A35" s="224"/>
      <c r="B35" s="224"/>
    </row>
  </sheetData>
  <sheetProtection/>
  <mergeCells count="33">
    <mergeCell ref="D27:F28"/>
    <mergeCell ref="A22:A23"/>
    <mergeCell ref="A26:S26"/>
    <mergeCell ref="B22:B23"/>
    <mergeCell ref="B32:C32"/>
    <mergeCell ref="A8:A9"/>
    <mergeCell ref="B16:B17"/>
    <mergeCell ref="B18:B19"/>
    <mergeCell ref="A35:B35"/>
    <mergeCell ref="B12:B13"/>
    <mergeCell ref="A20:A21"/>
    <mergeCell ref="A12:A13"/>
    <mergeCell ref="A6:A7"/>
    <mergeCell ref="B6:B7"/>
    <mergeCell ref="B20:B21"/>
    <mergeCell ref="A18:A19"/>
    <mergeCell ref="A33:S33"/>
    <mergeCell ref="D6:F7"/>
    <mergeCell ref="A1:S1"/>
    <mergeCell ref="A2:S2"/>
    <mergeCell ref="A3:S3"/>
    <mergeCell ref="B4:B5"/>
    <mergeCell ref="A4:A5"/>
    <mergeCell ref="G4:S4"/>
    <mergeCell ref="C4:C5"/>
    <mergeCell ref="A24:A25"/>
    <mergeCell ref="B24:B25"/>
    <mergeCell ref="B8:B9"/>
    <mergeCell ref="A10:A11"/>
    <mergeCell ref="B10:B11"/>
    <mergeCell ref="A14:A15"/>
    <mergeCell ref="B14:B15"/>
    <mergeCell ref="A16:A17"/>
  </mergeCells>
  <printOptions horizontalCentered="1"/>
  <pageMargins left="0.984251968503937" right="1.1811023622047245" top="0.984251968503937" bottom="1.5748031496062993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0"/>
  <sheetViews>
    <sheetView zoomScaleSheetLayoutView="120" workbookViewId="0" topLeftCell="A1">
      <selection activeCell="A284" sqref="A284"/>
    </sheetView>
  </sheetViews>
  <sheetFormatPr defaultColWidth="9.140625" defaultRowHeight="12.75"/>
  <cols>
    <col min="1" max="1" width="8.7109375" style="5" customWidth="1"/>
    <col min="2" max="2" width="36.7109375" style="15" customWidth="1"/>
    <col min="3" max="3" width="7.00390625" style="9" bestFit="1" customWidth="1"/>
    <col min="4" max="4" width="38.421875" style="19" customWidth="1"/>
    <col min="5" max="5" width="12.7109375" style="18" bestFit="1" customWidth="1"/>
    <col min="6" max="6" width="12.7109375" style="9" bestFit="1" customWidth="1"/>
    <col min="7" max="7" width="12.28125" style="5" customWidth="1"/>
    <col min="8" max="8" width="10.140625" style="5" bestFit="1" customWidth="1"/>
    <col min="9" max="16384" width="9.140625" style="5" customWidth="1"/>
  </cols>
  <sheetData>
    <row r="1" spans="1:5" ht="42.75" customHeight="1">
      <c r="A1" s="259" t="s">
        <v>118</v>
      </c>
      <c r="B1" s="260"/>
      <c r="C1" s="260"/>
      <c r="D1" s="260"/>
      <c r="E1" s="261"/>
    </row>
    <row r="2" spans="1:6" s="8" customFormat="1" ht="81" customHeight="1">
      <c r="A2" s="262" t="s">
        <v>191</v>
      </c>
      <c r="B2" s="262"/>
      <c r="C2" s="262"/>
      <c r="D2" s="262"/>
      <c r="E2" s="262"/>
      <c r="F2" s="10"/>
    </row>
    <row r="3" spans="1:5" ht="20.25" customHeight="1">
      <c r="A3" s="257" t="s">
        <v>154</v>
      </c>
      <c r="B3" s="257"/>
      <c r="C3" s="257"/>
      <c r="D3" s="257"/>
      <c r="E3" s="257"/>
    </row>
    <row r="4" spans="1:5" ht="19.5" customHeight="1">
      <c r="A4" s="1" t="s">
        <v>1</v>
      </c>
      <c r="B4" s="1" t="s">
        <v>14</v>
      </c>
      <c r="C4" s="1" t="s">
        <v>155</v>
      </c>
      <c r="D4" s="70" t="s">
        <v>94</v>
      </c>
      <c r="E4" s="3" t="s">
        <v>17</v>
      </c>
    </row>
    <row r="5" spans="1:5" ht="15.75">
      <c r="A5" s="30" t="s">
        <v>37</v>
      </c>
      <c r="B5" s="263" t="s">
        <v>178</v>
      </c>
      <c r="C5" s="263"/>
      <c r="D5" s="263"/>
      <c r="E5" s="263"/>
    </row>
    <row r="6" spans="1:5" ht="25.5" customHeight="1">
      <c r="A6" s="4">
        <v>1</v>
      </c>
      <c r="B6" s="176" t="s">
        <v>2</v>
      </c>
      <c r="C6" s="177"/>
      <c r="D6" s="177"/>
      <c r="E6" s="235"/>
    </row>
    <row r="7" spans="1:5" ht="30">
      <c r="A7" s="54" t="s">
        <v>3</v>
      </c>
      <c r="B7" s="55" t="s">
        <v>15</v>
      </c>
      <c r="C7" s="54" t="s">
        <v>4</v>
      </c>
      <c r="D7" s="56" t="s">
        <v>114</v>
      </c>
      <c r="E7" s="107">
        <f>2*4</f>
        <v>8</v>
      </c>
    </row>
    <row r="8" spans="1:5" ht="30">
      <c r="A8" s="154" t="s">
        <v>5</v>
      </c>
      <c r="B8" s="57" t="s">
        <v>166</v>
      </c>
      <c r="C8" s="58" t="s">
        <v>168</v>
      </c>
      <c r="D8" s="31" t="s">
        <v>169</v>
      </c>
      <c r="E8" s="108">
        <v>1</v>
      </c>
    </row>
    <row r="9" spans="1:5" ht="30">
      <c r="A9" s="154" t="s">
        <v>22</v>
      </c>
      <c r="B9" s="57" t="s">
        <v>364</v>
      </c>
      <c r="C9" s="58" t="s">
        <v>11</v>
      </c>
      <c r="D9" s="158" t="s">
        <v>193</v>
      </c>
      <c r="E9" s="108">
        <v>12</v>
      </c>
    </row>
    <row r="10" spans="1:5" ht="60">
      <c r="A10" s="154" t="s">
        <v>71</v>
      </c>
      <c r="B10" s="57" t="s">
        <v>24</v>
      </c>
      <c r="C10" s="58" t="s">
        <v>11</v>
      </c>
      <c r="D10" s="31" t="s">
        <v>193</v>
      </c>
      <c r="E10" s="108">
        <v>12</v>
      </c>
    </row>
    <row r="11" spans="1:5" ht="66" customHeight="1">
      <c r="A11" s="154" t="s">
        <v>74</v>
      </c>
      <c r="B11" s="23" t="s">
        <v>138</v>
      </c>
      <c r="C11" s="153" t="s">
        <v>4</v>
      </c>
      <c r="D11" s="158" t="s">
        <v>115</v>
      </c>
      <c r="E11" s="108">
        <v>12</v>
      </c>
    </row>
    <row r="12" spans="1:5" ht="82.5" customHeight="1">
      <c r="A12" s="154" t="s">
        <v>75</v>
      </c>
      <c r="B12" s="23" t="s">
        <v>366</v>
      </c>
      <c r="C12" s="53" t="s">
        <v>4</v>
      </c>
      <c r="D12" s="31" t="s">
        <v>115</v>
      </c>
      <c r="E12" s="108">
        <v>12</v>
      </c>
    </row>
    <row r="13" spans="1:5" ht="75">
      <c r="A13" s="154" t="s">
        <v>76</v>
      </c>
      <c r="B13" s="23" t="s">
        <v>116</v>
      </c>
      <c r="C13" s="53" t="s">
        <v>0</v>
      </c>
      <c r="D13" s="31" t="s">
        <v>162</v>
      </c>
      <c r="E13" s="108">
        <v>25</v>
      </c>
    </row>
    <row r="14" spans="1:5" ht="60">
      <c r="A14" s="154" t="s">
        <v>101</v>
      </c>
      <c r="B14" s="23" t="s">
        <v>99</v>
      </c>
      <c r="C14" s="53" t="s">
        <v>0</v>
      </c>
      <c r="D14" s="31" t="s">
        <v>162</v>
      </c>
      <c r="E14" s="108">
        <v>25</v>
      </c>
    </row>
    <row r="15" spans="1:5" ht="75">
      <c r="A15" s="154" t="s">
        <v>368</v>
      </c>
      <c r="B15" s="23" t="s">
        <v>102</v>
      </c>
      <c r="C15" s="53" t="s">
        <v>0</v>
      </c>
      <c r="D15" s="31" t="s">
        <v>117</v>
      </c>
      <c r="E15" s="108">
        <v>20</v>
      </c>
    </row>
    <row r="16" spans="1:5" ht="30">
      <c r="A16" s="154" t="s">
        <v>369</v>
      </c>
      <c r="B16" s="23" t="s">
        <v>78</v>
      </c>
      <c r="C16" s="53" t="s">
        <v>36</v>
      </c>
      <c r="D16" s="31" t="s">
        <v>380</v>
      </c>
      <c r="E16" s="108">
        <f>1+1</f>
        <v>2</v>
      </c>
    </row>
    <row r="17" spans="1:5" ht="15">
      <c r="A17" s="236"/>
      <c r="B17" s="236"/>
      <c r="C17" s="236"/>
      <c r="D17" s="236"/>
      <c r="E17" s="236"/>
    </row>
    <row r="18" spans="1:5" ht="15.75">
      <c r="A18" s="4">
        <v>2</v>
      </c>
      <c r="B18" s="258" t="s">
        <v>25</v>
      </c>
      <c r="C18" s="258"/>
      <c r="D18" s="258"/>
      <c r="E18" s="258"/>
    </row>
    <row r="19" spans="1:5" ht="45">
      <c r="A19" s="53" t="s">
        <v>19</v>
      </c>
      <c r="B19" s="23" t="s">
        <v>79</v>
      </c>
      <c r="C19" s="53" t="s">
        <v>16</v>
      </c>
      <c r="D19" s="32" t="s">
        <v>26</v>
      </c>
      <c r="E19" s="108">
        <v>0</v>
      </c>
    </row>
    <row r="20" spans="1:5" ht="45">
      <c r="A20" s="53" t="s">
        <v>20</v>
      </c>
      <c r="B20" s="23" t="s">
        <v>81</v>
      </c>
      <c r="C20" s="53" t="s">
        <v>16</v>
      </c>
      <c r="D20" s="32" t="s">
        <v>26</v>
      </c>
      <c r="E20" s="108">
        <v>0</v>
      </c>
    </row>
    <row r="21" spans="1:5" ht="30">
      <c r="A21" s="53" t="s">
        <v>80</v>
      </c>
      <c r="B21" s="23" t="s">
        <v>77</v>
      </c>
      <c r="C21" s="53" t="s">
        <v>4</v>
      </c>
      <c r="D21" s="32" t="s">
        <v>26</v>
      </c>
      <c r="E21" s="108">
        <v>0</v>
      </c>
    </row>
    <row r="22" spans="1:5" ht="15">
      <c r="A22" s="236"/>
      <c r="B22" s="236"/>
      <c r="C22" s="236"/>
      <c r="D22" s="236"/>
      <c r="E22" s="236"/>
    </row>
    <row r="23" spans="1:5" ht="15.75">
      <c r="A23" s="30" t="s">
        <v>40</v>
      </c>
      <c r="B23" s="263" t="s">
        <v>38</v>
      </c>
      <c r="C23" s="263"/>
      <c r="D23" s="263"/>
      <c r="E23" s="263"/>
    </row>
    <row r="24" spans="1:10" ht="27" customHeight="1">
      <c r="A24" s="22">
        <v>2</v>
      </c>
      <c r="B24" s="176" t="s">
        <v>21</v>
      </c>
      <c r="C24" s="177"/>
      <c r="D24" s="177"/>
      <c r="E24" s="235"/>
      <c r="H24" s="9"/>
      <c r="J24" s="9"/>
    </row>
    <row r="25" spans="1:5" ht="33" customHeight="1">
      <c r="A25" s="236" t="s">
        <v>19</v>
      </c>
      <c r="B25" s="240" t="s">
        <v>104</v>
      </c>
      <c r="C25" s="241"/>
      <c r="D25" s="242"/>
      <c r="E25" s="103"/>
    </row>
    <row r="26" spans="1:10" ht="123">
      <c r="A26" s="236"/>
      <c r="B26" s="82" t="s">
        <v>194</v>
      </c>
      <c r="C26" s="246" t="s">
        <v>0</v>
      </c>
      <c r="D26" s="101" t="s">
        <v>195</v>
      </c>
      <c r="E26" s="45"/>
      <c r="H26" s="9"/>
      <c r="J26" s="9"/>
    </row>
    <row r="27" spans="1:10" ht="52.5" customHeight="1">
      <c r="A27" s="236"/>
      <c r="B27" s="23" t="s">
        <v>127</v>
      </c>
      <c r="C27" s="247"/>
      <c r="D27" s="71" t="s">
        <v>196</v>
      </c>
      <c r="E27" s="46"/>
      <c r="H27" s="9"/>
      <c r="J27" s="9"/>
    </row>
    <row r="28" spans="1:10" ht="100.5" customHeight="1">
      <c r="A28" s="236"/>
      <c r="B28" s="23" t="s">
        <v>128</v>
      </c>
      <c r="C28" s="247"/>
      <c r="D28" s="71" t="s">
        <v>205</v>
      </c>
      <c r="E28" s="125">
        <f>1611.57+14.5+163.45+479.52+103.31+34.06+39.02+16+27.35+266.09+29.56</f>
        <v>2784.43</v>
      </c>
      <c r="H28" s="9"/>
      <c r="J28" s="9"/>
    </row>
    <row r="29" spans="1:10" ht="41.25" customHeight="1">
      <c r="A29" s="236"/>
      <c r="B29" s="23" t="s">
        <v>197</v>
      </c>
      <c r="C29" s="247"/>
      <c r="D29" s="71" t="s">
        <v>200</v>
      </c>
      <c r="E29" s="45"/>
      <c r="H29" s="9"/>
      <c r="J29" s="9"/>
    </row>
    <row r="30" spans="1:10" ht="42.75" customHeight="1">
      <c r="A30" s="236"/>
      <c r="B30" s="23" t="s">
        <v>120</v>
      </c>
      <c r="C30" s="247"/>
      <c r="D30" s="71" t="s">
        <v>199</v>
      </c>
      <c r="E30" s="45"/>
      <c r="H30" s="9"/>
      <c r="J30" s="9"/>
    </row>
    <row r="31" spans="1:10" ht="37.5" customHeight="1">
      <c r="A31" s="236"/>
      <c r="B31" s="23" t="s">
        <v>122</v>
      </c>
      <c r="C31" s="247"/>
      <c r="D31" s="71" t="s">
        <v>198</v>
      </c>
      <c r="E31" s="45"/>
      <c r="H31" s="9"/>
      <c r="J31" s="9"/>
    </row>
    <row r="32" spans="1:10" ht="37.5" customHeight="1">
      <c r="A32" s="236"/>
      <c r="B32" s="23" t="s">
        <v>201</v>
      </c>
      <c r="C32" s="247"/>
      <c r="D32" s="71" t="s">
        <v>202</v>
      </c>
      <c r="E32" s="45"/>
      <c r="H32" s="9"/>
      <c r="J32" s="9"/>
    </row>
    <row r="33" spans="1:10" ht="70.5" customHeight="1">
      <c r="A33" s="236"/>
      <c r="B33" s="23" t="s">
        <v>203</v>
      </c>
      <c r="C33" s="247"/>
      <c r="D33" s="101" t="s">
        <v>204</v>
      </c>
      <c r="E33" s="45"/>
      <c r="H33" s="9"/>
      <c r="J33" s="9"/>
    </row>
    <row r="34" spans="1:5" ht="32.25" customHeight="1">
      <c r="A34" s="236" t="s">
        <v>20</v>
      </c>
      <c r="B34" s="240" t="s">
        <v>372</v>
      </c>
      <c r="C34" s="241"/>
      <c r="D34" s="242"/>
      <c r="E34" s="103"/>
    </row>
    <row r="35" spans="1:10" ht="27.75" customHeight="1">
      <c r="A35" s="236"/>
      <c r="B35" s="160" t="s">
        <v>373</v>
      </c>
      <c r="C35" s="246" t="s">
        <v>16</v>
      </c>
      <c r="D35" s="127" t="s">
        <v>378</v>
      </c>
      <c r="E35" s="125">
        <f>18409.94*0.07</f>
        <v>1288.7</v>
      </c>
      <c r="H35" s="9"/>
      <c r="J35" s="9"/>
    </row>
    <row r="36" spans="1:10" ht="20.25" customHeight="1">
      <c r="A36" s="236"/>
      <c r="B36" s="159"/>
      <c r="C36" s="247"/>
      <c r="D36" s="52"/>
      <c r="E36" s="45"/>
      <c r="H36" s="9"/>
      <c r="J36" s="9"/>
    </row>
    <row r="37" spans="1:5" ht="36.75" customHeight="1">
      <c r="A37" s="236" t="s">
        <v>80</v>
      </c>
      <c r="B37" s="240" t="s">
        <v>385</v>
      </c>
      <c r="C37" s="241"/>
      <c r="D37" s="242"/>
      <c r="E37" s="103"/>
    </row>
    <row r="38" spans="1:10" ht="38.25" customHeight="1">
      <c r="A38" s="236"/>
      <c r="B38" s="157" t="s">
        <v>377</v>
      </c>
      <c r="C38" s="246" t="s">
        <v>376</v>
      </c>
      <c r="D38" s="127" t="s">
        <v>379</v>
      </c>
      <c r="E38" s="125">
        <f>E35*1.8</f>
        <v>2319.66</v>
      </c>
      <c r="H38" s="9"/>
      <c r="J38" s="9"/>
    </row>
    <row r="39" spans="1:10" ht="20.25" customHeight="1">
      <c r="A39" s="236"/>
      <c r="B39" s="156"/>
      <c r="C39" s="247"/>
      <c r="D39" s="52"/>
      <c r="E39" s="45"/>
      <c r="H39" s="9"/>
      <c r="J39" s="9"/>
    </row>
    <row r="40" spans="1:10" ht="49.5" customHeight="1">
      <c r="A40" s="246" t="s">
        <v>386</v>
      </c>
      <c r="B40" s="240" t="s">
        <v>180</v>
      </c>
      <c r="C40" s="241"/>
      <c r="D40" s="242"/>
      <c r="E40" s="117"/>
      <c r="H40" s="9"/>
      <c r="J40" s="9"/>
    </row>
    <row r="41" spans="1:10" ht="15">
      <c r="A41" s="247"/>
      <c r="B41" s="253" t="s">
        <v>206</v>
      </c>
      <c r="C41" s="246" t="s">
        <v>4</v>
      </c>
      <c r="D41" s="102" t="s">
        <v>207</v>
      </c>
      <c r="E41" s="50"/>
      <c r="H41" s="9"/>
      <c r="J41" s="9"/>
    </row>
    <row r="42" spans="1:10" ht="15">
      <c r="A42" s="247"/>
      <c r="B42" s="254"/>
      <c r="C42" s="247"/>
      <c r="D42" s="60" t="s">
        <v>208</v>
      </c>
      <c r="E42" s="50"/>
      <c r="H42" s="9"/>
      <c r="J42" s="9"/>
    </row>
    <row r="43" spans="1:10" ht="15">
      <c r="A43" s="247"/>
      <c r="B43" s="254"/>
      <c r="C43" s="247"/>
      <c r="D43" s="60" t="s">
        <v>209</v>
      </c>
      <c r="E43" s="50"/>
      <c r="H43" s="9"/>
      <c r="J43" s="9"/>
    </row>
    <row r="44" spans="1:10" ht="15.75">
      <c r="A44" s="247"/>
      <c r="B44" s="254"/>
      <c r="C44" s="247"/>
      <c r="D44" s="72" t="s">
        <v>210</v>
      </c>
      <c r="E44" s="50"/>
      <c r="H44" s="9"/>
      <c r="J44" s="9"/>
    </row>
    <row r="45" spans="1:10" ht="15.75">
      <c r="A45" s="247"/>
      <c r="B45" s="255"/>
      <c r="C45" s="247"/>
      <c r="D45" s="72"/>
      <c r="E45" s="50"/>
      <c r="H45" s="9"/>
      <c r="J45" s="9"/>
    </row>
    <row r="46" spans="1:10" ht="15">
      <c r="A46" s="247"/>
      <c r="B46" s="253" t="s">
        <v>211</v>
      </c>
      <c r="C46" s="247"/>
      <c r="D46" s="102" t="s">
        <v>212</v>
      </c>
      <c r="E46" s="48"/>
      <c r="H46" s="9"/>
      <c r="J46" s="9"/>
    </row>
    <row r="47" spans="1:10" ht="15">
      <c r="A47" s="247"/>
      <c r="B47" s="254"/>
      <c r="C47" s="247"/>
      <c r="D47" s="60" t="s">
        <v>213</v>
      </c>
      <c r="E47" s="48"/>
      <c r="H47" s="9"/>
      <c r="J47" s="9"/>
    </row>
    <row r="48" spans="1:10" ht="15">
      <c r="A48" s="247"/>
      <c r="B48" s="254"/>
      <c r="C48" s="247"/>
      <c r="D48" s="60" t="s">
        <v>214</v>
      </c>
      <c r="E48" s="48"/>
      <c r="H48" s="9"/>
      <c r="J48" s="9"/>
    </row>
    <row r="49" spans="1:10" ht="15.75">
      <c r="A49" s="247"/>
      <c r="B49" s="254"/>
      <c r="C49" s="247"/>
      <c r="D49" s="72" t="s">
        <v>215</v>
      </c>
      <c r="E49" s="48"/>
      <c r="H49" s="9"/>
      <c r="J49" s="9"/>
    </row>
    <row r="50" spans="1:10" ht="15.75">
      <c r="A50" s="247"/>
      <c r="B50" s="255"/>
      <c r="C50" s="247"/>
      <c r="D50" s="72"/>
      <c r="E50" s="50"/>
      <c r="H50" s="9"/>
      <c r="J50" s="9"/>
    </row>
    <row r="51" spans="1:10" ht="15.75">
      <c r="A51" s="247"/>
      <c r="B51" s="253" t="s">
        <v>128</v>
      </c>
      <c r="C51" s="247"/>
      <c r="D51" s="47" t="s">
        <v>216</v>
      </c>
      <c r="E51" s="109"/>
      <c r="H51" s="9"/>
      <c r="J51" s="9"/>
    </row>
    <row r="52" spans="1:10" ht="30">
      <c r="A52" s="247"/>
      <c r="B52" s="254"/>
      <c r="C52" s="247"/>
      <c r="D52" s="126" t="s">
        <v>217</v>
      </c>
      <c r="E52" s="50"/>
      <c r="H52" s="9"/>
      <c r="J52" s="9"/>
    </row>
    <row r="53" spans="1:10" ht="15">
      <c r="A53" s="247"/>
      <c r="B53" s="254"/>
      <c r="C53" s="247"/>
      <c r="D53" s="60" t="s">
        <v>218</v>
      </c>
      <c r="E53" s="48"/>
      <c r="H53" s="9"/>
      <c r="J53" s="9"/>
    </row>
    <row r="54" spans="1:10" ht="30">
      <c r="A54" s="247"/>
      <c r="B54" s="254"/>
      <c r="C54" s="247"/>
      <c r="D54" s="126" t="s">
        <v>219</v>
      </c>
      <c r="E54" s="48"/>
      <c r="H54" s="9"/>
      <c r="J54" s="9"/>
    </row>
    <row r="55" spans="1:10" ht="15">
      <c r="A55" s="247"/>
      <c r="B55" s="254"/>
      <c r="C55" s="247"/>
      <c r="D55" s="60" t="s">
        <v>220</v>
      </c>
      <c r="E55" s="48"/>
      <c r="H55" s="9"/>
      <c r="J55" s="9"/>
    </row>
    <row r="56" spans="1:10" ht="15">
      <c r="A56" s="247"/>
      <c r="B56" s="254"/>
      <c r="C56" s="247"/>
      <c r="D56" s="60" t="s">
        <v>221</v>
      </c>
      <c r="E56" s="48"/>
      <c r="H56" s="9"/>
      <c r="J56" s="9"/>
    </row>
    <row r="57" spans="1:10" ht="15">
      <c r="A57" s="247"/>
      <c r="B57" s="254"/>
      <c r="C57" s="247"/>
      <c r="D57" s="60" t="s">
        <v>222</v>
      </c>
      <c r="E57" s="48"/>
      <c r="H57" s="9"/>
      <c r="J57" s="9"/>
    </row>
    <row r="58" spans="1:10" ht="15">
      <c r="A58" s="247"/>
      <c r="B58" s="254"/>
      <c r="C58" s="247"/>
      <c r="D58" s="60" t="s">
        <v>223</v>
      </c>
      <c r="E58" s="48"/>
      <c r="H58" s="9"/>
      <c r="J58" s="9"/>
    </row>
    <row r="59" spans="1:10" ht="15">
      <c r="A59" s="247"/>
      <c r="B59" s="254"/>
      <c r="C59" s="247"/>
      <c r="D59" s="60" t="s">
        <v>224</v>
      </c>
      <c r="E59" s="48"/>
      <c r="H59" s="9"/>
      <c r="J59" s="9"/>
    </row>
    <row r="60" spans="1:10" ht="15.75">
      <c r="A60" s="247"/>
      <c r="B60" s="254"/>
      <c r="C60" s="247"/>
      <c r="D60" s="72" t="s">
        <v>225</v>
      </c>
      <c r="E60" s="48"/>
      <c r="H60" s="9"/>
      <c r="J60" s="9"/>
    </row>
    <row r="61" spans="1:10" ht="15.75">
      <c r="A61" s="247"/>
      <c r="B61" s="255"/>
      <c r="C61" s="247"/>
      <c r="D61" s="72"/>
      <c r="E61" s="48"/>
      <c r="H61" s="9"/>
      <c r="J61" s="9"/>
    </row>
    <row r="62" spans="1:10" ht="15">
      <c r="A62" s="247"/>
      <c r="B62" s="253" t="s">
        <v>226</v>
      </c>
      <c r="C62" s="247"/>
      <c r="D62" s="47" t="s">
        <v>227</v>
      </c>
      <c r="E62" s="48"/>
      <c r="H62" s="9"/>
      <c r="J62" s="9"/>
    </row>
    <row r="63" spans="1:10" ht="15">
      <c r="A63" s="247"/>
      <c r="B63" s="254"/>
      <c r="C63" s="247"/>
      <c r="D63" s="60" t="s">
        <v>228</v>
      </c>
      <c r="E63" s="48"/>
      <c r="H63" s="9"/>
      <c r="J63" s="9"/>
    </row>
    <row r="64" spans="1:10" ht="15">
      <c r="A64" s="247"/>
      <c r="B64" s="254"/>
      <c r="C64" s="247"/>
      <c r="D64" s="60" t="s">
        <v>229</v>
      </c>
      <c r="E64" s="48"/>
      <c r="H64" s="9"/>
      <c r="J64" s="9"/>
    </row>
    <row r="65" spans="1:10" ht="15">
      <c r="A65" s="247"/>
      <c r="B65" s="254"/>
      <c r="C65" s="247"/>
      <c r="D65" s="60" t="s">
        <v>230</v>
      </c>
      <c r="E65" s="48"/>
      <c r="H65" s="9"/>
      <c r="J65" s="9"/>
    </row>
    <row r="66" spans="1:10" ht="15.75">
      <c r="A66" s="247"/>
      <c r="B66" s="254"/>
      <c r="C66" s="247"/>
      <c r="D66" s="60" t="s">
        <v>232</v>
      </c>
      <c r="E66" s="109">
        <f>3833.01+2926.4+5428.32+1051.11+1385.69+1235.87+1381.64+1167.9</f>
        <v>18409.94</v>
      </c>
      <c r="H66" s="9"/>
      <c r="J66" s="9"/>
    </row>
    <row r="67" spans="1:10" ht="15">
      <c r="A67" s="247"/>
      <c r="B67" s="254"/>
      <c r="C67" s="247"/>
      <c r="D67" s="60" t="s">
        <v>233</v>
      </c>
      <c r="E67" s="48"/>
      <c r="H67" s="9"/>
      <c r="J67" s="9"/>
    </row>
    <row r="68" spans="1:10" ht="15.75">
      <c r="A68" s="247"/>
      <c r="B68" s="254"/>
      <c r="C68" s="247"/>
      <c r="D68" s="72" t="s">
        <v>234</v>
      </c>
      <c r="E68" s="48"/>
      <c r="H68" s="9"/>
      <c r="J68" s="9"/>
    </row>
    <row r="69" spans="1:10" ht="15.75">
      <c r="A69" s="247"/>
      <c r="B69" s="255"/>
      <c r="C69" s="247"/>
      <c r="D69" s="72"/>
      <c r="E69" s="48"/>
      <c r="H69" s="9"/>
      <c r="J69" s="9"/>
    </row>
    <row r="70" spans="1:10" ht="15">
      <c r="A70" s="247"/>
      <c r="B70" s="253" t="s">
        <v>120</v>
      </c>
      <c r="C70" s="247"/>
      <c r="D70" s="47" t="s">
        <v>235</v>
      </c>
      <c r="E70" s="48"/>
      <c r="H70" s="9"/>
      <c r="J70" s="9"/>
    </row>
    <row r="71" spans="1:10" ht="15">
      <c r="A71" s="247"/>
      <c r="B71" s="254"/>
      <c r="C71" s="247"/>
      <c r="D71" s="60" t="s">
        <v>236</v>
      </c>
      <c r="E71" s="48"/>
      <c r="H71" s="9"/>
      <c r="J71" s="9"/>
    </row>
    <row r="72" spans="1:10" ht="15">
      <c r="A72" s="247"/>
      <c r="B72" s="254"/>
      <c r="C72" s="247"/>
      <c r="D72" s="60" t="s">
        <v>237</v>
      </c>
      <c r="E72" s="48"/>
      <c r="H72" s="9"/>
      <c r="J72" s="9"/>
    </row>
    <row r="73" spans="1:10" ht="15">
      <c r="A73" s="247"/>
      <c r="B73" s="254"/>
      <c r="C73" s="247"/>
      <c r="D73" s="60" t="s">
        <v>238</v>
      </c>
      <c r="E73" s="48"/>
      <c r="H73" s="9"/>
      <c r="J73" s="9"/>
    </row>
    <row r="74" spans="1:10" ht="15">
      <c r="A74" s="247"/>
      <c r="B74" s="254"/>
      <c r="C74" s="247"/>
      <c r="D74" s="60" t="s">
        <v>239</v>
      </c>
      <c r="E74" s="48"/>
      <c r="H74" s="9"/>
      <c r="J74" s="9"/>
    </row>
    <row r="75" spans="1:10" ht="15">
      <c r="A75" s="247"/>
      <c r="B75" s="254"/>
      <c r="C75" s="247"/>
      <c r="D75" s="60" t="s">
        <v>231</v>
      </c>
      <c r="E75" s="48"/>
      <c r="H75" s="9"/>
      <c r="J75" s="9"/>
    </row>
    <row r="76" spans="1:10" ht="15">
      <c r="A76" s="247"/>
      <c r="B76" s="254"/>
      <c r="C76" s="247"/>
      <c r="D76" s="60" t="s">
        <v>240</v>
      </c>
      <c r="E76" s="48"/>
      <c r="H76" s="9"/>
      <c r="J76" s="9"/>
    </row>
    <row r="77" spans="1:10" ht="15">
      <c r="A77" s="247"/>
      <c r="B77" s="254"/>
      <c r="C77" s="247"/>
      <c r="D77" s="60" t="s">
        <v>241</v>
      </c>
      <c r="E77" s="48"/>
      <c r="H77" s="9"/>
      <c r="J77" s="9"/>
    </row>
    <row r="78" spans="1:10" ht="15.75">
      <c r="A78" s="247"/>
      <c r="B78" s="254"/>
      <c r="C78" s="247"/>
      <c r="D78" s="72" t="s">
        <v>242</v>
      </c>
      <c r="E78" s="48"/>
      <c r="H78" s="9"/>
      <c r="J78" s="9"/>
    </row>
    <row r="79" spans="1:10" ht="15.75">
      <c r="A79" s="247"/>
      <c r="B79" s="255"/>
      <c r="C79" s="247"/>
      <c r="D79" s="72"/>
      <c r="E79" s="48"/>
      <c r="H79" s="9"/>
      <c r="J79" s="9"/>
    </row>
    <row r="80" spans="1:10" ht="15">
      <c r="A80" s="247"/>
      <c r="B80" s="253" t="s">
        <v>122</v>
      </c>
      <c r="C80" s="247"/>
      <c r="D80" s="47" t="s">
        <v>243</v>
      </c>
      <c r="E80" s="48"/>
      <c r="H80" s="9"/>
      <c r="J80" s="9"/>
    </row>
    <row r="81" spans="1:10" ht="15">
      <c r="A81" s="247"/>
      <c r="B81" s="254"/>
      <c r="C81" s="247"/>
      <c r="D81" s="60" t="s">
        <v>244</v>
      </c>
      <c r="E81" s="48"/>
      <c r="H81" s="9"/>
      <c r="J81" s="9"/>
    </row>
    <row r="82" spans="1:10" ht="15">
      <c r="A82" s="247"/>
      <c r="B82" s="254"/>
      <c r="C82" s="247"/>
      <c r="D82" s="60" t="s">
        <v>245</v>
      </c>
      <c r="E82" s="48"/>
      <c r="H82" s="9"/>
      <c r="J82" s="9"/>
    </row>
    <row r="83" spans="1:10" ht="15.75">
      <c r="A83" s="247"/>
      <c r="B83" s="254"/>
      <c r="C83" s="247"/>
      <c r="D83" s="72" t="s">
        <v>246</v>
      </c>
      <c r="E83" s="48"/>
      <c r="H83" s="9"/>
      <c r="J83" s="9"/>
    </row>
    <row r="84" spans="1:10" ht="15.75">
      <c r="A84" s="247"/>
      <c r="B84" s="255"/>
      <c r="C84" s="247"/>
      <c r="D84" s="72"/>
      <c r="E84" s="48"/>
      <c r="H84" s="9"/>
      <c r="J84" s="9"/>
    </row>
    <row r="85" spans="1:10" ht="15">
      <c r="A85" s="247"/>
      <c r="B85" s="253" t="s">
        <v>201</v>
      </c>
      <c r="C85" s="247"/>
      <c r="D85" s="47" t="s">
        <v>247</v>
      </c>
      <c r="E85" s="48"/>
      <c r="H85" s="9"/>
      <c r="J85" s="9"/>
    </row>
    <row r="86" spans="1:10" ht="15">
      <c r="A86" s="247"/>
      <c r="B86" s="254"/>
      <c r="C86" s="247"/>
      <c r="D86" s="60" t="s">
        <v>248</v>
      </c>
      <c r="E86" s="48"/>
      <c r="H86" s="9"/>
      <c r="J86" s="9"/>
    </row>
    <row r="87" spans="1:10" ht="15">
      <c r="A87" s="247"/>
      <c r="B87" s="254"/>
      <c r="C87" s="247"/>
      <c r="D87" s="60" t="s">
        <v>249</v>
      </c>
      <c r="E87" s="48"/>
      <c r="H87" s="9"/>
      <c r="J87" s="9"/>
    </row>
    <row r="88" spans="1:10" ht="15">
      <c r="A88" s="247"/>
      <c r="B88" s="254"/>
      <c r="C88" s="247"/>
      <c r="D88" s="60" t="s">
        <v>250</v>
      </c>
      <c r="E88" s="48"/>
      <c r="H88" s="9"/>
      <c r="J88" s="9"/>
    </row>
    <row r="89" spans="1:10" ht="15.75">
      <c r="A89" s="247"/>
      <c r="B89" s="254"/>
      <c r="C89" s="247"/>
      <c r="D89" s="72" t="s">
        <v>251</v>
      </c>
      <c r="E89" s="48"/>
      <c r="H89" s="9"/>
      <c r="J89" s="9"/>
    </row>
    <row r="90" spans="1:10" ht="15.75">
      <c r="A90" s="247"/>
      <c r="B90" s="255"/>
      <c r="C90" s="247"/>
      <c r="D90" s="72"/>
      <c r="E90" s="48"/>
      <c r="H90" s="9"/>
      <c r="J90" s="9"/>
    </row>
    <row r="91" spans="1:10" ht="15">
      <c r="A91" s="247"/>
      <c r="B91" s="253" t="s">
        <v>203</v>
      </c>
      <c r="C91" s="247"/>
      <c r="D91" s="47" t="s">
        <v>252</v>
      </c>
      <c r="E91" s="48"/>
      <c r="H91" s="9"/>
      <c r="J91" s="9"/>
    </row>
    <row r="92" spans="1:10" ht="15">
      <c r="A92" s="247"/>
      <c r="B92" s="254"/>
      <c r="C92" s="247"/>
      <c r="D92" s="60" t="s">
        <v>253</v>
      </c>
      <c r="E92" s="48"/>
      <c r="H92" s="9"/>
      <c r="J92" s="9"/>
    </row>
    <row r="93" spans="1:10" ht="15">
      <c r="A93" s="247"/>
      <c r="B93" s="254"/>
      <c r="C93" s="247"/>
      <c r="D93" s="60" t="s">
        <v>254</v>
      </c>
      <c r="E93" s="48"/>
      <c r="H93" s="9"/>
      <c r="J93" s="9"/>
    </row>
    <row r="94" spans="1:10" ht="15.75">
      <c r="A94" s="247"/>
      <c r="B94" s="254"/>
      <c r="C94" s="247"/>
      <c r="D94" s="72" t="s">
        <v>255</v>
      </c>
      <c r="E94" s="48"/>
      <c r="H94" s="9"/>
      <c r="J94" s="9"/>
    </row>
    <row r="95" spans="1:10" ht="15.75">
      <c r="A95" s="251"/>
      <c r="B95" s="255"/>
      <c r="C95" s="251"/>
      <c r="D95" s="72"/>
      <c r="E95" s="48"/>
      <c r="H95" s="9"/>
      <c r="J95" s="9"/>
    </row>
    <row r="96" spans="1:5" ht="34.5" customHeight="1">
      <c r="A96" s="236" t="s">
        <v>387</v>
      </c>
      <c r="B96" s="240" t="s">
        <v>107</v>
      </c>
      <c r="C96" s="241"/>
      <c r="D96" s="242"/>
      <c r="E96" s="80"/>
    </row>
    <row r="97" spans="1:10" ht="31.5" customHeight="1">
      <c r="A97" s="236"/>
      <c r="B97" s="82" t="s">
        <v>194</v>
      </c>
      <c r="C97" s="246" t="s">
        <v>0</v>
      </c>
      <c r="D97" s="101" t="s">
        <v>256</v>
      </c>
      <c r="E97" s="45"/>
      <c r="G97" s="43"/>
      <c r="H97" s="43"/>
      <c r="J97" s="9"/>
    </row>
    <row r="98" spans="1:10" ht="31.5">
      <c r="A98" s="236"/>
      <c r="B98" s="118" t="s">
        <v>127</v>
      </c>
      <c r="C98" s="247"/>
      <c r="D98" s="101" t="s">
        <v>257</v>
      </c>
      <c r="E98" s="110"/>
      <c r="H98" s="9"/>
      <c r="J98" s="9"/>
    </row>
    <row r="99" spans="1:10" ht="45.75">
      <c r="A99" s="236"/>
      <c r="B99" s="23" t="s">
        <v>128</v>
      </c>
      <c r="C99" s="247"/>
      <c r="D99" s="101" t="s">
        <v>258</v>
      </c>
      <c r="E99" s="51"/>
      <c r="H99" s="9"/>
      <c r="J99" s="9"/>
    </row>
    <row r="100" spans="1:10" ht="31.5">
      <c r="A100" s="236"/>
      <c r="B100" s="23" t="s">
        <v>226</v>
      </c>
      <c r="C100" s="247"/>
      <c r="D100" s="101" t="s">
        <v>259</v>
      </c>
      <c r="E100" s="125">
        <f>817.33+700.8+810.98+132.65+366.14+318.3+310.94+266.09</f>
        <v>3723.23</v>
      </c>
      <c r="H100" s="9"/>
      <c r="J100" s="9"/>
    </row>
    <row r="101" spans="1:10" ht="24.75" customHeight="1">
      <c r="A101" s="236"/>
      <c r="B101" s="23" t="s">
        <v>120</v>
      </c>
      <c r="C101" s="247"/>
      <c r="D101" s="101" t="s">
        <v>260</v>
      </c>
      <c r="E101" s="45"/>
      <c r="H101" s="9"/>
      <c r="J101" s="9"/>
    </row>
    <row r="102" spans="1:10" ht="24.75" customHeight="1">
      <c r="A102" s="236"/>
      <c r="B102" s="23" t="s">
        <v>122</v>
      </c>
      <c r="C102" s="247"/>
      <c r="D102" s="101" t="s">
        <v>261</v>
      </c>
      <c r="E102" s="45"/>
      <c r="H102" s="9"/>
      <c r="J102" s="9"/>
    </row>
    <row r="103" spans="1:10" ht="24.75" customHeight="1">
      <c r="A103" s="236"/>
      <c r="B103" s="23" t="s">
        <v>201</v>
      </c>
      <c r="C103" s="247"/>
      <c r="D103" s="101" t="s">
        <v>262</v>
      </c>
      <c r="E103" s="45"/>
      <c r="H103" s="9"/>
      <c r="J103" s="9"/>
    </row>
    <row r="104" spans="1:10" ht="24.75" customHeight="1">
      <c r="A104" s="236"/>
      <c r="B104" s="23" t="s">
        <v>203</v>
      </c>
      <c r="C104" s="247"/>
      <c r="D104" s="101" t="s">
        <v>263</v>
      </c>
      <c r="E104" s="45"/>
      <c r="H104" s="9"/>
      <c r="J104" s="9"/>
    </row>
    <row r="105" spans="1:10" ht="24.75" customHeight="1">
      <c r="A105" s="236"/>
      <c r="B105" s="23"/>
      <c r="C105" s="247"/>
      <c r="D105" s="72" t="s">
        <v>264</v>
      </c>
      <c r="E105" s="48"/>
      <c r="H105" s="9"/>
      <c r="J105" s="9"/>
    </row>
    <row r="106" spans="1:10" ht="15">
      <c r="A106" s="236"/>
      <c r="B106" s="23"/>
      <c r="C106" s="251"/>
      <c r="D106" s="44"/>
      <c r="E106" s="45"/>
      <c r="H106" s="9"/>
      <c r="J106" s="9"/>
    </row>
    <row r="107" spans="1:5" ht="32.25" customHeight="1">
      <c r="A107" s="236" t="s">
        <v>388</v>
      </c>
      <c r="B107" s="240" t="s">
        <v>109</v>
      </c>
      <c r="C107" s="241"/>
      <c r="D107" s="242"/>
      <c r="E107" s="103"/>
    </row>
    <row r="108" spans="1:10" ht="60.75">
      <c r="A108" s="236"/>
      <c r="B108" s="119" t="s">
        <v>194</v>
      </c>
      <c r="C108" s="246" t="s">
        <v>0</v>
      </c>
      <c r="D108" s="127" t="s">
        <v>265</v>
      </c>
      <c r="E108" s="45"/>
      <c r="H108" s="9"/>
      <c r="J108" s="9"/>
    </row>
    <row r="109" spans="1:10" ht="30.75">
      <c r="A109" s="236"/>
      <c r="B109" s="23" t="s">
        <v>127</v>
      </c>
      <c r="C109" s="247"/>
      <c r="D109" s="52" t="s">
        <v>266</v>
      </c>
      <c r="E109" s="46"/>
      <c r="H109" s="9"/>
      <c r="J109" s="9"/>
    </row>
    <row r="110" spans="1:10" ht="61.5">
      <c r="A110" s="236"/>
      <c r="B110" s="23" t="s">
        <v>128</v>
      </c>
      <c r="C110" s="247"/>
      <c r="D110" s="52" t="s">
        <v>267</v>
      </c>
      <c r="E110" s="110">
        <f>1426.77+1401.6+1741.36+265.3+732.28+636.6+621.88+490.5</f>
        <v>7316.29</v>
      </c>
      <c r="H110" s="9"/>
      <c r="J110" s="9"/>
    </row>
    <row r="111" spans="1:10" ht="34.5" customHeight="1">
      <c r="A111" s="236"/>
      <c r="B111" s="124" t="s">
        <v>226</v>
      </c>
      <c r="C111" s="247"/>
      <c r="D111" s="52" t="s">
        <v>268</v>
      </c>
      <c r="E111" s="45"/>
      <c r="H111" s="9"/>
      <c r="J111" s="9"/>
    </row>
    <row r="112" spans="1:10" ht="34.5" customHeight="1">
      <c r="A112" s="236"/>
      <c r="B112" s="23" t="s">
        <v>120</v>
      </c>
      <c r="C112" s="247"/>
      <c r="D112" s="52" t="s">
        <v>269</v>
      </c>
      <c r="E112" s="45"/>
      <c r="H112" s="9"/>
      <c r="J112" s="9"/>
    </row>
    <row r="113" spans="1:10" ht="34.5" customHeight="1">
      <c r="A113" s="236"/>
      <c r="B113" s="23" t="s">
        <v>122</v>
      </c>
      <c r="C113" s="247"/>
      <c r="D113" s="52" t="s">
        <v>270</v>
      </c>
      <c r="E113" s="45"/>
      <c r="H113" s="9"/>
      <c r="J113" s="9"/>
    </row>
    <row r="114" spans="1:10" ht="34.5" customHeight="1">
      <c r="A114" s="236"/>
      <c r="B114" s="23" t="s">
        <v>201</v>
      </c>
      <c r="C114" s="247"/>
      <c r="D114" s="52" t="s">
        <v>271</v>
      </c>
      <c r="E114" s="45"/>
      <c r="H114" s="9"/>
      <c r="J114" s="9"/>
    </row>
    <row r="115" spans="1:10" ht="34.5" customHeight="1">
      <c r="A115" s="236"/>
      <c r="B115" s="23" t="s">
        <v>203</v>
      </c>
      <c r="C115" s="251"/>
      <c r="D115" s="52" t="s">
        <v>272</v>
      </c>
      <c r="E115" s="45"/>
      <c r="H115" s="9"/>
      <c r="J115" s="9"/>
    </row>
    <row r="116" spans="1:5" ht="15">
      <c r="A116" s="236"/>
      <c r="B116" s="236"/>
      <c r="C116" s="236"/>
      <c r="D116" s="236"/>
      <c r="E116" s="236"/>
    </row>
    <row r="117" spans="1:5" ht="26.25" customHeight="1">
      <c r="A117" s="4">
        <v>3</v>
      </c>
      <c r="B117" s="176" t="s">
        <v>113</v>
      </c>
      <c r="C117" s="177"/>
      <c r="D117" s="177"/>
      <c r="E117" s="235"/>
    </row>
    <row r="118" spans="1:5" ht="49.5" customHeight="1">
      <c r="A118" s="234" t="s">
        <v>28</v>
      </c>
      <c r="B118" s="240" t="s">
        <v>59</v>
      </c>
      <c r="C118" s="241"/>
      <c r="D118" s="242"/>
      <c r="E118" s="103"/>
    </row>
    <row r="119" spans="1:5" ht="15">
      <c r="A119" s="234"/>
      <c r="B119" s="254" t="s">
        <v>194</v>
      </c>
      <c r="C119" s="238" t="s">
        <v>0</v>
      </c>
      <c r="D119" s="102" t="s">
        <v>277</v>
      </c>
      <c r="E119" s="59"/>
    </row>
    <row r="120" spans="1:5" ht="15">
      <c r="A120" s="234"/>
      <c r="B120" s="254"/>
      <c r="C120" s="238"/>
      <c r="D120" s="60" t="s">
        <v>278</v>
      </c>
      <c r="E120" s="59"/>
    </row>
    <row r="121" spans="1:5" ht="15">
      <c r="A121" s="234"/>
      <c r="B121" s="254"/>
      <c r="C121" s="238"/>
      <c r="D121" s="60" t="s">
        <v>279</v>
      </c>
      <c r="E121" s="59"/>
    </row>
    <row r="122" spans="1:5" ht="15">
      <c r="A122" s="234"/>
      <c r="B122" s="254"/>
      <c r="C122" s="238"/>
      <c r="D122" s="60" t="s">
        <v>280</v>
      </c>
      <c r="E122" s="59"/>
    </row>
    <row r="123" spans="1:5" ht="15">
      <c r="A123" s="234"/>
      <c r="B123" s="254"/>
      <c r="C123" s="238"/>
      <c r="D123" s="60" t="s">
        <v>281</v>
      </c>
      <c r="E123" s="59"/>
    </row>
    <row r="124" spans="1:10" ht="15.75">
      <c r="A124" s="234"/>
      <c r="B124" s="254"/>
      <c r="C124" s="238"/>
      <c r="D124" s="72" t="s">
        <v>289</v>
      </c>
      <c r="E124" s="48"/>
      <c r="H124" s="9"/>
      <c r="J124" s="9"/>
    </row>
    <row r="125" spans="1:5" ht="15">
      <c r="A125" s="234"/>
      <c r="B125" s="255"/>
      <c r="C125" s="238"/>
      <c r="D125" s="49"/>
      <c r="E125" s="59"/>
    </row>
    <row r="126" spans="1:5" ht="15.75">
      <c r="A126" s="234"/>
      <c r="B126" s="253" t="s">
        <v>304</v>
      </c>
      <c r="C126" s="238"/>
      <c r="D126" s="47" t="s">
        <v>119</v>
      </c>
      <c r="E126" s="111">
        <f>44+34+17</f>
        <v>95</v>
      </c>
    </row>
    <row r="127" spans="1:5" ht="15">
      <c r="A127" s="234"/>
      <c r="B127" s="254"/>
      <c r="C127" s="238"/>
      <c r="D127" s="60" t="s">
        <v>282</v>
      </c>
      <c r="E127" s="147"/>
    </row>
    <row r="128" spans="1:5" ht="15">
      <c r="A128" s="234"/>
      <c r="B128" s="254"/>
      <c r="C128" s="238"/>
      <c r="D128" s="60" t="s">
        <v>283</v>
      </c>
      <c r="E128" s="59"/>
    </row>
    <row r="129" spans="1:5" ht="15">
      <c r="A129" s="234"/>
      <c r="B129" s="254"/>
      <c r="C129" s="238"/>
      <c r="D129" s="60" t="s">
        <v>284</v>
      </c>
      <c r="E129" s="59"/>
    </row>
    <row r="130" spans="1:5" ht="15">
      <c r="A130" s="234"/>
      <c r="B130" s="254"/>
      <c r="C130" s="238"/>
      <c r="D130" s="60" t="s">
        <v>285</v>
      </c>
      <c r="E130" s="59"/>
    </row>
    <row r="131" spans="1:10" ht="15.75">
      <c r="A131" s="234"/>
      <c r="B131" s="254"/>
      <c r="C131" s="238"/>
      <c r="D131" s="131" t="s">
        <v>290</v>
      </c>
      <c r="E131" s="48"/>
      <c r="H131" s="9"/>
      <c r="J131" s="9"/>
    </row>
    <row r="132" spans="1:5" ht="15">
      <c r="A132" s="234"/>
      <c r="B132" s="255"/>
      <c r="C132" s="238"/>
      <c r="D132" s="49"/>
      <c r="E132" s="59"/>
    </row>
    <row r="133" spans="1:5" ht="15">
      <c r="A133" s="234"/>
      <c r="B133" s="253" t="s">
        <v>201</v>
      </c>
      <c r="C133" s="238"/>
      <c r="D133" s="47" t="s">
        <v>286</v>
      </c>
      <c r="E133" s="59"/>
    </row>
    <row r="134" spans="1:5" ht="15">
      <c r="A134" s="234"/>
      <c r="B134" s="254"/>
      <c r="C134" s="238"/>
      <c r="D134" s="60" t="s">
        <v>287</v>
      </c>
      <c r="E134" s="59"/>
    </row>
    <row r="135" spans="1:5" ht="15">
      <c r="A135" s="234"/>
      <c r="B135" s="254"/>
      <c r="C135" s="238"/>
      <c r="D135" s="60" t="s">
        <v>288</v>
      </c>
      <c r="E135" s="59"/>
    </row>
    <row r="136" spans="1:10" ht="15.75">
      <c r="A136" s="234"/>
      <c r="B136" s="254"/>
      <c r="C136" s="238"/>
      <c r="D136" s="131" t="s">
        <v>291</v>
      </c>
      <c r="E136" s="48"/>
      <c r="H136" s="9"/>
      <c r="J136" s="9"/>
    </row>
    <row r="137" spans="1:5" ht="15">
      <c r="A137" s="234"/>
      <c r="B137" s="254"/>
      <c r="C137" s="238"/>
      <c r="D137" s="49"/>
      <c r="E137" s="59"/>
    </row>
    <row r="138" spans="1:5" ht="45" customHeight="1">
      <c r="A138" s="234" t="s">
        <v>29</v>
      </c>
      <c r="B138" s="240" t="s">
        <v>57</v>
      </c>
      <c r="C138" s="241"/>
      <c r="D138" s="242"/>
      <c r="E138" s="103"/>
    </row>
    <row r="139" spans="1:5" ht="15.75">
      <c r="A139" s="234"/>
      <c r="B139" s="23" t="s">
        <v>201</v>
      </c>
      <c r="C139" s="237" t="s">
        <v>0</v>
      </c>
      <c r="D139" s="104" t="s">
        <v>273</v>
      </c>
      <c r="E139" s="111">
        <f>27.19</f>
        <v>27.19</v>
      </c>
    </row>
    <row r="140" spans="1:5" ht="15">
      <c r="A140" s="234"/>
      <c r="B140" s="23"/>
      <c r="C140" s="238"/>
      <c r="D140" s="31"/>
      <c r="E140" s="147"/>
    </row>
    <row r="141" spans="1:5" ht="15">
      <c r="A141" s="234"/>
      <c r="B141" s="23"/>
      <c r="C141" s="239"/>
      <c r="D141" s="31"/>
      <c r="E141" s="62"/>
    </row>
    <row r="142" spans="1:5" ht="44.25" customHeight="1">
      <c r="A142" s="234" t="s">
        <v>30</v>
      </c>
      <c r="B142" s="240" t="s">
        <v>53</v>
      </c>
      <c r="C142" s="241"/>
      <c r="D142" s="242"/>
      <c r="E142" s="103"/>
    </row>
    <row r="143" spans="1:5" ht="15">
      <c r="A143" s="234"/>
      <c r="B143" s="128" t="s">
        <v>194</v>
      </c>
      <c r="C143" s="237" t="s">
        <v>0</v>
      </c>
      <c r="D143" s="102" t="s">
        <v>274</v>
      </c>
      <c r="E143" s="64"/>
    </row>
    <row r="144" spans="1:5" ht="90.75">
      <c r="A144" s="234"/>
      <c r="B144" s="128" t="s">
        <v>304</v>
      </c>
      <c r="C144" s="238"/>
      <c r="D144" s="126" t="s">
        <v>275</v>
      </c>
      <c r="E144" s="111">
        <f>57.53+260.22+66.76</f>
        <v>384.51</v>
      </c>
    </row>
    <row r="145" spans="1:5" ht="15">
      <c r="A145" s="234"/>
      <c r="B145" s="128" t="s">
        <v>201</v>
      </c>
      <c r="C145" s="238"/>
      <c r="D145" s="102" t="s">
        <v>276</v>
      </c>
      <c r="E145" s="59"/>
    </row>
    <row r="146" spans="1:5" ht="15">
      <c r="A146" s="234"/>
      <c r="B146" s="128"/>
      <c r="C146" s="238"/>
      <c r="D146" s="49"/>
      <c r="E146" s="64"/>
    </row>
    <row r="147" spans="1:5" ht="48" customHeight="1">
      <c r="A147" s="234" t="s">
        <v>34</v>
      </c>
      <c r="B147" s="240" t="s">
        <v>182</v>
      </c>
      <c r="C147" s="241"/>
      <c r="D147" s="242"/>
      <c r="E147" s="103"/>
    </row>
    <row r="148" spans="1:5" ht="15.75">
      <c r="A148" s="234"/>
      <c r="B148" s="81" t="s">
        <v>201</v>
      </c>
      <c r="C148" s="237" t="s">
        <v>36</v>
      </c>
      <c r="D148" s="102" t="s">
        <v>158</v>
      </c>
      <c r="E148" s="112">
        <f>1</f>
        <v>1</v>
      </c>
    </row>
    <row r="149" spans="1:5" ht="15">
      <c r="A149" s="234"/>
      <c r="B149" s="80"/>
      <c r="C149" s="238"/>
      <c r="D149" s="47"/>
      <c r="E149" s="65"/>
    </row>
    <row r="150" spans="1:5" ht="51.75" customHeight="1">
      <c r="A150" s="234" t="s">
        <v>370</v>
      </c>
      <c r="B150" s="240" t="s">
        <v>121</v>
      </c>
      <c r="C150" s="241"/>
      <c r="D150" s="242"/>
      <c r="E150" s="103"/>
    </row>
    <row r="151" spans="1:5" ht="15">
      <c r="A151" s="234"/>
      <c r="B151" s="254" t="s">
        <v>194</v>
      </c>
      <c r="C151" s="237" t="s">
        <v>36</v>
      </c>
      <c r="D151" s="102" t="s">
        <v>158</v>
      </c>
      <c r="E151" s="59"/>
    </row>
    <row r="152" spans="1:5" ht="15.75">
      <c r="A152" s="234"/>
      <c r="B152" s="254"/>
      <c r="C152" s="238"/>
      <c r="D152" s="60" t="s">
        <v>157</v>
      </c>
      <c r="E152" s="111">
        <f>1+1+1+2+1</f>
        <v>6</v>
      </c>
    </row>
    <row r="153" spans="1:5" ht="15">
      <c r="A153" s="234"/>
      <c r="B153" s="253" t="s">
        <v>304</v>
      </c>
      <c r="C153" s="238"/>
      <c r="D153" s="102" t="s">
        <v>158</v>
      </c>
      <c r="E153" s="59"/>
    </row>
    <row r="154" spans="1:5" ht="15">
      <c r="A154" s="234"/>
      <c r="B154" s="255"/>
      <c r="C154" s="238"/>
      <c r="D154" s="60" t="s">
        <v>292</v>
      </c>
      <c r="E154" s="59"/>
    </row>
    <row r="155" spans="1:5" ht="15">
      <c r="A155" s="234"/>
      <c r="B155" s="23" t="s">
        <v>201</v>
      </c>
      <c r="C155" s="238"/>
      <c r="D155" s="60" t="s">
        <v>293</v>
      </c>
      <c r="E155" s="59"/>
    </row>
    <row r="156" spans="1:5" ht="15">
      <c r="A156" s="234"/>
      <c r="B156" s="23"/>
      <c r="C156" s="239"/>
      <c r="D156" s="47"/>
      <c r="E156" s="62"/>
    </row>
    <row r="157" spans="1:5" ht="45" customHeight="1">
      <c r="A157" s="234" t="s">
        <v>375</v>
      </c>
      <c r="B157" s="264" t="s">
        <v>61</v>
      </c>
      <c r="C157" s="265"/>
      <c r="D157" s="266"/>
      <c r="E157" s="103"/>
    </row>
    <row r="158" spans="1:5" ht="15">
      <c r="A158" s="234"/>
      <c r="B158" s="254" t="s">
        <v>194</v>
      </c>
      <c r="C158" s="237" t="s">
        <v>36</v>
      </c>
      <c r="D158" s="102" t="s">
        <v>294</v>
      </c>
      <c r="E158" s="59"/>
    </row>
    <row r="159" spans="1:5" ht="15.75">
      <c r="A159" s="234"/>
      <c r="B159" s="254"/>
      <c r="C159" s="238"/>
      <c r="D159" s="60" t="s">
        <v>295</v>
      </c>
      <c r="E159" s="111"/>
    </row>
    <row r="160" spans="1:5" ht="15.75">
      <c r="A160" s="234"/>
      <c r="B160" s="253" t="s">
        <v>304</v>
      </c>
      <c r="C160" s="238"/>
      <c r="D160" s="102" t="s">
        <v>294</v>
      </c>
      <c r="E160" s="111">
        <f>2+3+2+5+2+2</f>
        <v>16</v>
      </c>
    </row>
    <row r="161" spans="1:5" ht="15">
      <c r="A161" s="234"/>
      <c r="B161" s="255"/>
      <c r="C161" s="238"/>
      <c r="D161" s="60" t="s">
        <v>296</v>
      </c>
      <c r="E161" s="59"/>
    </row>
    <row r="162" spans="1:5" ht="15">
      <c r="A162" s="234"/>
      <c r="B162" s="253" t="s">
        <v>201</v>
      </c>
      <c r="C162" s="238"/>
      <c r="D162" s="60" t="s">
        <v>294</v>
      </c>
      <c r="E162" s="59"/>
    </row>
    <row r="163" spans="1:5" ht="15">
      <c r="A163" s="234"/>
      <c r="B163" s="255"/>
      <c r="C163" s="238"/>
      <c r="D163" s="60" t="s">
        <v>297</v>
      </c>
      <c r="E163" s="59"/>
    </row>
    <row r="164" spans="1:5" ht="15">
      <c r="A164" s="234"/>
      <c r="B164" s="23"/>
      <c r="C164" s="239"/>
      <c r="D164" s="31"/>
      <c r="E164" s="62"/>
    </row>
    <row r="165" spans="1:5" ht="45" customHeight="1">
      <c r="A165" s="234" t="s">
        <v>389</v>
      </c>
      <c r="B165" s="240" t="s">
        <v>299</v>
      </c>
      <c r="C165" s="241"/>
      <c r="D165" s="242"/>
      <c r="E165" s="103"/>
    </row>
    <row r="166" spans="1:5" ht="15.75">
      <c r="A166" s="234"/>
      <c r="B166" s="254" t="s">
        <v>194</v>
      </c>
      <c r="C166" s="237" t="s">
        <v>0</v>
      </c>
      <c r="D166" s="102" t="s">
        <v>303</v>
      </c>
      <c r="E166" s="111">
        <f>10</f>
        <v>10</v>
      </c>
    </row>
    <row r="167" spans="1:5" ht="15.75">
      <c r="A167" s="234"/>
      <c r="B167" s="254"/>
      <c r="C167" s="238"/>
      <c r="D167" s="60"/>
      <c r="E167" s="111"/>
    </row>
    <row r="168" spans="1:5" ht="45" customHeight="1">
      <c r="A168" s="234" t="s">
        <v>390</v>
      </c>
      <c r="B168" s="264" t="s">
        <v>298</v>
      </c>
      <c r="C168" s="265"/>
      <c r="D168" s="266"/>
      <c r="E168" s="103"/>
    </row>
    <row r="169" spans="1:5" ht="15.75">
      <c r="A169" s="234"/>
      <c r="B169" s="254" t="s">
        <v>194</v>
      </c>
      <c r="C169" s="237" t="s">
        <v>36</v>
      </c>
      <c r="D169" s="102" t="s">
        <v>158</v>
      </c>
      <c r="E169" s="111">
        <f>1</f>
        <v>1</v>
      </c>
    </row>
    <row r="170" spans="1:5" ht="15.75">
      <c r="A170" s="234"/>
      <c r="B170" s="254"/>
      <c r="C170" s="238"/>
      <c r="D170" s="60"/>
      <c r="E170" s="111"/>
    </row>
    <row r="171" spans="1:5" ht="15">
      <c r="A171" s="236"/>
      <c r="B171" s="236"/>
      <c r="C171" s="236"/>
      <c r="D171" s="236"/>
      <c r="E171" s="236"/>
    </row>
    <row r="172" spans="1:6" ht="15.75">
      <c r="A172" s="30" t="s">
        <v>148</v>
      </c>
      <c r="B172" s="263" t="s">
        <v>150</v>
      </c>
      <c r="C172" s="263"/>
      <c r="D172" s="263"/>
      <c r="E172" s="263"/>
      <c r="F172" s="5"/>
    </row>
    <row r="173" spans="1:6" ht="15.75">
      <c r="A173" s="30"/>
      <c r="B173" s="263" t="s">
        <v>39</v>
      </c>
      <c r="C173" s="263"/>
      <c r="D173" s="263"/>
      <c r="E173" s="263"/>
      <c r="F173" s="5"/>
    </row>
    <row r="174" spans="1:6" ht="30.75" customHeight="1">
      <c r="A174" s="4">
        <v>4</v>
      </c>
      <c r="B174" s="176" t="s">
        <v>42</v>
      </c>
      <c r="C174" s="177"/>
      <c r="D174" s="177"/>
      <c r="E174" s="235"/>
      <c r="F174" s="5"/>
    </row>
    <row r="175" spans="1:5" ht="76.5" customHeight="1">
      <c r="A175" s="234" t="s">
        <v>31</v>
      </c>
      <c r="B175" s="240" t="s">
        <v>381</v>
      </c>
      <c r="C175" s="241"/>
      <c r="D175" s="242"/>
      <c r="E175" s="112">
        <f>1.6*0.6*1005.89</f>
        <v>965.65</v>
      </c>
    </row>
    <row r="176" spans="1:5" ht="15">
      <c r="A176" s="234"/>
      <c r="B176" s="32" t="s">
        <v>309</v>
      </c>
      <c r="C176" s="237" t="s">
        <v>16</v>
      </c>
      <c r="D176" s="267" t="s">
        <v>311</v>
      </c>
      <c r="E176" s="65"/>
    </row>
    <row r="177" spans="1:5" ht="15">
      <c r="A177" s="234"/>
      <c r="B177" s="32" t="s">
        <v>62</v>
      </c>
      <c r="C177" s="238"/>
      <c r="D177" s="267"/>
      <c r="E177" s="65"/>
    </row>
    <row r="178" spans="1:5" ht="15.75">
      <c r="A178" s="234"/>
      <c r="B178" s="66" t="s">
        <v>310</v>
      </c>
      <c r="C178" s="239"/>
      <c r="D178" s="267"/>
      <c r="E178" s="150"/>
    </row>
    <row r="179" spans="1:5" ht="43.5" customHeight="1">
      <c r="A179" s="234" t="s">
        <v>32</v>
      </c>
      <c r="B179" s="240" t="s">
        <v>383</v>
      </c>
      <c r="C179" s="241"/>
      <c r="D179" s="242"/>
      <c r="E179" s="103"/>
    </row>
    <row r="180" spans="1:5" ht="24" customHeight="1">
      <c r="A180" s="234"/>
      <c r="B180" s="105" t="s">
        <v>92</v>
      </c>
      <c r="C180" s="237" t="s">
        <v>16</v>
      </c>
      <c r="D180" s="62"/>
      <c r="E180" s="112">
        <f>1.15*1*1*74</f>
        <v>85.1</v>
      </c>
    </row>
    <row r="181" spans="1:5" ht="15">
      <c r="A181" s="234"/>
      <c r="B181" s="32" t="s">
        <v>63</v>
      </c>
      <c r="C181" s="238"/>
      <c r="D181" s="252" t="s">
        <v>326</v>
      </c>
      <c r="E181" s="65"/>
    </row>
    <row r="182" spans="1:5" ht="15">
      <c r="A182" s="234"/>
      <c r="B182" s="32" t="s">
        <v>82</v>
      </c>
      <c r="C182" s="238"/>
      <c r="D182" s="252"/>
      <c r="E182" s="65"/>
    </row>
    <row r="183" spans="1:5" ht="15">
      <c r="A183" s="234"/>
      <c r="B183" s="32" t="s">
        <v>83</v>
      </c>
      <c r="C183" s="238"/>
      <c r="D183" s="252"/>
      <c r="E183" s="64"/>
    </row>
    <row r="184" spans="1:5" ht="15.75">
      <c r="A184" s="234"/>
      <c r="B184" s="66" t="s">
        <v>325</v>
      </c>
      <c r="C184" s="239"/>
      <c r="D184" s="252"/>
      <c r="E184" s="150"/>
    </row>
    <row r="185" spans="1:5" ht="63" customHeight="1">
      <c r="A185" s="234" t="s">
        <v>33</v>
      </c>
      <c r="B185" s="240" t="s">
        <v>188</v>
      </c>
      <c r="C185" s="241"/>
      <c r="D185" s="242"/>
      <c r="E185" s="103"/>
    </row>
    <row r="186" spans="1:5" ht="15.75">
      <c r="A186" s="234"/>
      <c r="B186" s="106" t="s">
        <v>55</v>
      </c>
      <c r="C186" s="237" t="s">
        <v>16</v>
      </c>
      <c r="D186" s="250" t="s">
        <v>312</v>
      </c>
      <c r="E186" s="112">
        <f>0.1*0.6*1005.89</f>
        <v>60.35</v>
      </c>
    </row>
    <row r="187" spans="1:5" ht="15">
      <c r="A187" s="234"/>
      <c r="B187" s="32" t="s">
        <v>64</v>
      </c>
      <c r="C187" s="238"/>
      <c r="D187" s="252"/>
      <c r="E187" s="65"/>
    </row>
    <row r="188" spans="1:5" ht="15.75">
      <c r="A188" s="234"/>
      <c r="B188" s="66" t="s">
        <v>310</v>
      </c>
      <c r="C188" s="239"/>
      <c r="D188" s="252"/>
      <c r="E188" s="150"/>
    </row>
    <row r="189" spans="1:5" ht="45" customHeight="1">
      <c r="A189" s="234" t="s">
        <v>35</v>
      </c>
      <c r="B189" s="240" t="s">
        <v>175</v>
      </c>
      <c r="C189" s="241"/>
      <c r="D189" s="242"/>
      <c r="E189" s="103"/>
    </row>
    <row r="190" spans="1:5" ht="15.75">
      <c r="A190" s="234"/>
      <c r="B190" s="105" t="s">
        <v>93</v>
      </c>
      <c r="C190" s="237" t="s">
        <v>16</v>
      </c>
      <c r="D190" s="62"/>
      <c r="E190" s="59"/>
    </row>
    <row r="191" spans="1:5" ht="15" customHeight="1">
      <c r="A191" s="234"/>
      <c r="B191" s="32" t="s">
        <v>86</v>
      </c>
      <c r="C191" s="238"/>
      <c r="D191" s="256" t="s">
        <v>327</v>
      </c>
      <c r="E191" s="59"/>
    </row>
    <row r="192" spans="1:5" ht="15">
      <c r="A192" s="234"/>
      <c r="B192" s="32" t="s">
        <v>64</v>
      </c>
      <c r="C192" s="238"/>
      <c r="D192" s="256"/>
      <c r="E192" s="59"/>
    </row>
    <row r="193" spans="1:5" ht="15.75">
      <c r="A193" s="234"/>
      <c r="B193" s="66" t="s">
        <v>310</v>
      </c>
      <c r="C193" s="238"/>
      <c r="D193" s="256"/>
      <c r="E193" s="59"/>
    </row>
    <row r="194" spans="1:5" ht="24" customHeight="1">
      <c r="A194" s="234"/>
      <c r="B194" s="32" t="s">
        <v>65</v>
      </c>
      <c r="C194" s="238"/>
      <c r="D194" s="256"/>
      <c r="E194" s="111">
        <f>676.29+61.04</f>
        <v>737.33</v>
      </c>
    </row>
    <row r="195" spans="1:5" ht="24" customHeight="1">
      <c r="A195" s="234"/>
      <c r="B195" s="66" t="s">
        <v>92</v>
      </c>
      <c r="C195" s="238"/>
      <c r="D195" s="243" t="s">
        <v>328</v>
      </c>
      <c r="E195" s="147"/>
    </row>
    <row r="196" spans="1:5" ht="15">
      <c r="A196" s="234"/>
      <c r="B196" s="32" t="s">
        <v>86</v>
      </c>
      <c r="C196" s="238"/>
      <c r="D196" s="244"/>
      <c r="E196" s="59"/>
    </row>
    <row r="197" spans="1:5" ht="15">
      <c r="A197" s="234"/>
      <c r="B197" s="32" t="s">
        <v>82</v>
      </c>
      <c r="C197" s="238"/>
      <c r="D197" s="244"/>
      <c r="E197" s="59"/>
    </row>
    <row r="198" spans="1:5" ht="15">
      <c r="A198" s="234"/>
      <c r="B198" s="32" t="s">
        <v>84</v>
      </c>
      <c r="C198" s="238"/>
      <c r="D198" s="244"/>
      <c r="E198" s="59"/>
    </row>
    <row r="199" spans="1:5" ht="24" customHeight="1">
      <c r="A199" s="234"/>
      <c r="B199" s="32" t="s">
        <v>85</v>
      </c>
      <c r="C199" s="238"/>
      <c r="D199" s="244"/>
      <c r="E199" s="59"/>
    </row>
    <row r="200" spans="1:5" ht="24" customHeight="1">
      <c r="A200" s="234"/>
      <c r="B200" s="66" t="s">
        <v>325</v>
      </c>
      <c r="C200" s="239"/>
      <c r="D200" s="245"/>
      <c r="E200" s="62"/>
    </row>
    <row r="201" spans="1:5" ht="15">
      <c r="A201" s="236"/>
      <c r="B201" s="236"/>
      <c r="C201" s="236"/>
      <c r="D201" s="236"/>
      <c r="E201" s="236"/>
    </row>
    <row r="202" spans="1:6" ht="30" customHeight="1">
      <c r="A202" s="4">
        <v>5</v>
      </c>
      <c r="B202" s="176" t="s">
        <v>43</v>
      </c>
      <c r="C202" s="177"/>
      <c r="D202" s="177"/>
      <c r="E202" s="235"/>
      <c r="F202" s="5"/>
    </row>
    <row r="203" spans="1:5" ht="56.25" customHeight="1">
      <c r="A203" s="234" t="s">
        <v>41</v>
      </c>
      <c r="B203" s="240" t="s">
        <v>354</v>
      </c>
      <c r="C203" s="241"/>
      <c r="D203" s="242"/>
      <c r="E203" s="103"/>
    </row>
    <row r="204" spans="1:7" ht="45.75">
      <c r="A204" s="234"/>
      <c r="B204" s="82" t="s">
        <v>194</v>
      </c>
      <c r="C204" s="237" t="s">
        <v>0</v>
      </c>
      <c r="D204" s="101" t="s">
        <v>305</v>
      </c>
      <c r="E204" s="64"/>
      <c r="G204" s="9"/>
    </row>
    <row r="205" spans="1:7" ht="45.75">
      <c r="A205" s="234"/>
      <c r="B205" s="23" t="s">
        <v>304</v>
      </c>
      <c r="C205" s="238"/>
      <c r="D205" s="101" t="s">
        <v>306</v>
      </c>
      <c r="E205" s="111">
        <f>410.37+242.22+211.92+141.38</f>
        <v>1005.89</v>
      </c>
      <c r="G205" s="9"/>
    </row>
    <row r="206" spans="1:5" ht="45.75">
      <c r="A206" s="234"/>
      <c r="B206" s="23" t="s">
        <v>201</v>
      </c>
      <c r="C206" s="238"/>
      <c r="D206" s="101" t="s">
        <v>307</v>
      </c>
      <c r="E206" s="65"/>
    </row>
    <row r="207" spans="1:5" ht="45.75">
      <c r="A207" s="234"/>
      <c r="B207" s="23" t="s">
        <v>203</v>
      </c>
      <c r="C207" s="238"/>
      <c r="D207" s="101" t="s">
        <v>308</v>
      </c>
      <c r="E207" s="147"/>
    </row>
    <row r="208" spans="1:5" ht="15">
      <c r="A208" s="236"/>
      <c r="B208" s="236"/>
      <c r="C208" s="236"/>
      <c r="D208" s="236"/>
      <c r="E208" s="236"/>
    </row>
    <row r="209" spans="1:6" ht="28.5" customHeight="1">
      <c r="A209" s="4">
        <v>6</v>
      </c>
      <c r="B209" s="176" t="s">
        <v>46</v>
      </c>
      <c r="C209" s="177"/>
      <c r="D209" s="177"/>
      <c r="E209" s="235"/>
      <c r="F209" s="5"/>
    </row>
    <row r="210" spans="1:5" ht="66" customHeight="1">
      <c r="A210" s="234" t="s">
        <v>44</v>
      </c>
      <c r="B210" s="240" t="s">
        <v>123</v>
      </c>
      <c r="C210" s="241"/>
      <c r="D210" s="242"/>
      <c r="E210" s="103"/>
    </row>
    <row r="211" spans="1:7" ht="24.75" customHeight="1">
      <c r="A211" s="234"/>
      <c r="B211" s="82" t="s">
        <v>194</v>
      </c>
      <c r="C211" s="237" t="s">
        <v>36</v>
      </c>
      <c r="D211" s="101" t="s">
        <v>313</v>
      </c>
      <c r="E211" s="112">
        <f>7+5+5+4</f>
        <v>21</v>
      </c>
      <c r="G211" s="9"/>
    </row>
    <row r="212" spans="1:7" ht="24.75" customHeight="1">
      <c r="A212" s="234"/>
      <c r="B212" s="23" t="s">
        <v>304</v>
      </c>
      <c r="C212" s="238"/>
      <c r="D212" s="44" t="s">
        <v>314</v>
      </c>
      <c r="E212" s="65"/>
      <c r="G212" s="9"/>
    </row>
    <row r="213" spans="1:5" ht="24.75" customHeight="1">
      <c r="A213" s="234"/>
      <c r="B213" s="23" t="s">
        <v>201</v>
      </c>
      <c r="C213" s="238"/>
      <c r="D213" s="44" t="s">
        <v>315</v>
      </c>
      <c r="E213" s="112"/>
    </row>
    <row r="214" spans="1:5" ht="24.75" customHeight="1">
      <c r="A214" s="234"/>
      <c r="B214" s="23" t="s">
        <v>203</v>
      </c>
      <c r="C214" s="238"/>
      <c r="D214" s="44" t="s">
        <v>316</v>
      </c>
      <c r="E214" s="64"/>
    </row>
    <row r="215" spans="1:8" ht="15" customHeight="1">
      <c r="A215" s="234"/>
      <c r="B215" s="23"/>
      <c r="C215" s="239"/>
      <c r="D215" s="44"/>
      <c r="E215" s="150"/>
      <c r="H215" s="9"/>
    </row>
    <row r="216" spans="1:5" ht="15">
      <c r="A216" s="236"/>
      <c r="B216" s="236"/>
      <c r="C216" s="236"/>
      <c r="D216" s="236"/>
      <c r="E216" s="236"/>
    </row>
    <row r="217" spans="1:6" ht="34.5" customHeight="1">
      <c r="A217" s="4">
        <v>7</v>
      </c>
      <c r="B217" s="176" t="s">
        <v>50</v>
      </c>
      <c r="C217" s="177"/>
      <c r="D217" s="177"/>
      <c r="E217" s="235"/>
      <c r="F217" s="5"/>
    </row>
    <row r="218" spans="1:5" ht="61.5" customHeight="1">
      <c r="A218" s="234" t="s">
        <v>45</v>
      </c>
      <c r="B218" s="240" t="s">
        <v>357</v>
      </c>
      <c r="C218" s="241"/>
      <c r="D218" s="242"/>
      <c r="E218" s="103"/>
    </row>
    <row r="219" spans="1:7" ht="24.75" customHeight="1">
      <c r="A219" s="234"/>
      <c r="B219" s="23" t="s">
        <v>194</v>
      </c>
      <c r="C219" s="238" t="s">
        <v>36</v>
      </c>
      <c r="D219" s="44" t="s">
        <v>317</v>
      </c>
      <c r="E219" s="112">
        <f>29+8+18+19</f>
        <v>74</v>
      </c>
      <c r="G219" s="9"/>
    </row>
    <row r="220" spans="1:7" ht="24.75" customHeight="1">
      <c r="A220" s="234"/>
      <c r="B220" s="23" t="s">
        <v>304</v>
      </c>
      <c r="C220" s="238"/>
      <c r="D220" s="44" t="s">
        <v>318</v>
      </c>
      <c r="E220" s="65"/>
      <c r="G220" s="9"/>
    </row>
    <row r="221" spans="1:5" ht="24.75" customHeight="1">
      <c r="A221" s="234"/>
      <c r="B221" s="23" t="s">
        <v>201</v>
      </c>
      <c r="C221" s="238"/>
      <c r="D221" s="44" t="s">
        <v>319</v>
      </c>
      <c r="E221" s="112"/>
    </row>
    <row r="222" spans="1:5" ht="24.75" customHeight="1">
      <c r="A222" s="234"/>
      <c r="B222" s="23" t="s">
        <v>203</v>
      </c>
      <c r="C222" s="238"/>
      <c r="D222" s="44" t="s">
        <v>320</v>
      </c>
      <c r="E222" s="64"/>
    </row>
    <row r="223" spans="1:5" ht="94.5" customHeight="1">
      <c r="A223" s="234" t="s">
        <v>391</v>
      </c>
      <c r="B223" s="240" t="s">
        <v>125</v>
      </c>
      <c r="C223" s="241"/>
      <c r="D223" s="242"/>
      <c r="E223" s="103"/>
    </row>
    <row r="224" spans="1:11" ht="24.75" customHeight="1">
      <c r="A224" s="234"/>
      <c r="B224" s="23" t="s">
        <v>194</v>
      </c>
      <c r="C224" s="238" t="s">
        <v>36</v>
      </c>
      <c r="D224" s="44" t="s">
        <v>317</v>
      </c>
      <c r="E224" s="112">
        <f>29+8+18+19</f>
        <v>74</v>
      </c>
      <c r="G224" s="224"/>
      <c r="H224" s="224"/>
      <c r="I224" s="224"/>
      <c r="J224" s="224"/>
      <c r="K224" s="224"/>
    </row>
    <row r="225" spans="1:7" ht="24.75" customHeight="1">
      <c r="A225" s="234"/>
      <c r="B225" s="23" t="s">
        <v>304</v>
      </c>
      <c r="C225" s="238"/>
      <c r="D225" s="44" t="s">
        <v>318</v>
      </c>
      <c r="E225" s="64"/>
      <c r="G225" s="9"/>
    </row>
    <row r="226" spans="1:7" ht="24.75" customHeight="1">
      <c r="A226" s="234"/>
      <c r="B226" s="23" t="s">
        <v>201</v>
      </c>
      <c r="C226" s="238"/>
      <c r="D226" s="44" t="s">
        <v>319</v>
      </c>
      <c r="E226" s="112"/>
      <c r="G226" s="9"/>
    </row>
    <row r="227" spans="1:5" ht="24.75" customHeight="1">
      <c r="A227" s="234"/>
      <c r="B227" s="23" t="s">
        <v>203</v>
      </c>
      <c r="C227" s="238"/>
      <c r="D227" s="44" t="s">
        <v>320</v>
      </c>
      <c r="E227" s="64"/>
    </row>
    <row r="228" spans="1:5" ht="15">
      <c r="A228" s="236"/>
      <c r="B228" s="236"/>
      <c r="C228" s="236"/>
      <c r="D228" s="236"/>
      <c r="E228" s="236"/>
    </row>
    <row r="229" spans="1:6" ht="30.75" customHeight="1">
      <c r="A229" s="4" t="s">
        <v>45</v>
      </c>
      <c r="B229" s="176" t="s">
        <v>141</v>
      </c>
      <c r="C229" s="177"/>
      <c r="D229" s="177"/>
      <c r="E229" s="235"/>
      <c r="F229" s="5"/>
    </row>
    <row r="230" spans="1:5" ht="58.5" customHeight="1">
      <c r="A230" s="234" t="s">
        <v>392</v>
      </c>
      <c r="B230" s="240" t="s">
        <v>171</v>
      </c>
      <c r="C230" s="241"/>
      <c r="D230" s="242"/>
      <c r="E230" s="103"/>
    </row>
    <row r="231" spans="1:11" ht="24.75" customHeight="1">
      <c r="A231" s="234"/>
      <c r="B231" s="23" t="s">
        <v>194</v>
      </c>
      <c r="C231" s="237" t="s">
        <v>0</v>
      </c>
      <c r="D231" s="101" t="s">
        <v>321</v>
      </c>
      <c r="E231" s="112">
        <f>58+16+36+38</f>
        <v>148</v>
      </c>
      <c r="G231" s="224"/>
      <c r="H231" s="224"/>
      <c r="I231" s="224"/>
      <c r="J231" s="224"/>
      <c r="K231" s="224"/>
    </row>
    <row r="232" spans="1:7" ht="24.75" customHeight="1">
      <c r="A232" s="234"/>
      <c r="B232" s="23" t="s">
        <v>304</v>
      </c>
      <c r="C232" s="238"/>
      <c r="D232" s="44" t="s">
        <v>322</v>
      </c>
      <c r="E232" s="64"/>
      <c r="G232" s="9"/>
    </row>
    <row r="233" spans="1:7" ht="24.75" customHeight="1">
      <c r="A233" s="234"/>
      <c r="B233" s="23" t="s">
        <v>201</v>
      </c>
      <c r="C233" s="238"/>
      <c r="D233" s="44" t="s">
        <v>323</v>
      </c>
      <c r="E233" s="65"/>
      <c r="G233" s="9"/>
    </row>
    <row r="234" spans="1:5" ht="24.75" customHeight="1">
      <c r="A234" s="234"/>
      <c r="B234" s="23" t="s">
        <v>203</v>
      </c>
      <c r="C234" s="238"/>
      <c r="D234" s="44" t="s">
        <v>324</v>
      </c>
      <c r="E234" s="112"/>
    </row>
    <row r="235" spans="1:5" ht="15">
      <c r="A235" s="236"/>
      <c r="B235" s="236"/>
      <c r="C235" s="236"/>
      <c r="D235" s="236"/>
      <c r="E235" s="236"/>
    </row>
    <row r="236" spans="1:6" ht="15.75">
      <c r="A236" s="30" t="s">
        <v>179</v>
      </c>
      <c r="B236" s="263" t="s">
        <v>149</v>
      </c>
      <c r="C236" s="263"/>
      <c r="D236" s="263"/>
      <c r="E236" s="263"/>
      <c r="F236" s="5"/>
    </row>
    <row r="237" spans="1:6" ht="15.75">
      <c r="A237" s="30"/>
      <c r="B237" s="263" t="s">
        <v>66</v>
      </c>
      <c r="C237" s="263"/>
      <c r="D237" s="263"/>
      <c r="E237" s="263"/>
      <c r="F237" s="5"/>
    </row>
    <row r="238" spans="1:6" ht="27" customHeight="1">
      <c r="A238" s="4">
        <v>8</v>
      </c>
      <c r="B238" s="176" t="s">
        <v>43</v>
      </c>
      <c r="C238" s="177"/>
      <c r="D238" s="177"/>
      <c r="E238" s="235"/>
      <c r="F238" s="5"/>
    </row>
    <row r="239" spans="1:5" ht="30" customHeight="1">
      <c r="A239" s="234" t="s">
        <v>47</v>
      </c>
      <c r="B239" s="240" t="s">
        <v>129</v>
      </c>
      <c r="C239" s="241"/>
      <c r="D239" s="242"/>
      <c r="E239" s="103"/>
    </row>
    <row r="240" spans="1:7" ht="45.75">
      <c r="A240" s="234"/>
      <c r="B240" s="82" t="s">
        <v>194</v>
      </c>
      <c r="C240" s="237" t="s">
        <v>0</v>
      </c>
      <c r="D240" s="101" t="s">
        <v>329</v>
      </c>
      <c r="E240" s="64"/>
      <c r="G240" s="9"/>
    </row>
    <row r="241" spans="1:7" ht="45.75">
      <c r="A241" s="234"/>
      <c r="B241" s="120" t="s">
        <v>304</v>
      </c>
      <c r="C241" s="238"/>
      <c r="D241" s="44" t="s">
        <v>330</v>
      </c>
      <c r="E241" s="112">
        <f>410.37+242.22+211.92+141.38</f>
        <v>1005.89</v>
      </c>
      <c r="G241" s="9"/>
    </row>
    <row r="242" spans="1:5" ht="45.75">
      <c r="A242" s="234"/>
      <c r="B242" s="23" t="s">
        <v>201</v>
      </c>
      <c r="C242" s="238"/>
      <c r="D242" s="44" t="s">
        <v>331</v>
      </c>
      <c r="E242" s="64"/>
    </row>
    <row r="243" spans="1:5" ht="45.75">
      <c r="A243" s="234"/>
      <c r="B243" s="23" t="s">
        <v>203</v>
      </c>
      <c r="C243" s="238"/>
      <c r="D243" s="44" t="s">
        <v>332</v>
      </c>
      <c r="E243" s="64"/>
    </row>
    <row r="244" spans="1:5" ht="51" customHeight="1">
      <c r="A244" s="234" t="s">
        <v>70</v>
      </c>
      <c r="B244" s="240" t="s">
        <v>152</v>
      </c>
      <c r="C244" s="241"/>
      <c r="D244" s="242"/>
      <c r="E244" s="129"/>
    </row>
    <row r="245" spans="1:5" ht="24.75" customHeight="1">
      <c r="A245" s="234"/>
      <c r="B245" s="120" t="s">
        <v>194</v>
      </c>
      <c r="C245" s="149" t="s">
        <v>36</v>
      </c>
      <c r="D245" s="101" t="s">
        <v>133</v>
      </c>
      <c r="E245" s="113">
        <f>1+1</f>
        <v>2</v>
      </c>
    </row>
    <row r="246" spans="1:5" ht="24.75" customHeight="1">
      <c r="A246" s="234"/>
      <c r="B246" s="120" t="s">
        <v>304</v>
      </c>
      <c r="C246" s="149" t="s">
        <v>36</v>
      </c>
      <c r="D246" s="101" t="s">
        <v>362</v>
      </c>
      <c r="E246" s="130"/>
    </row>
    <row r="247" spans="1:5" ht="15">
      <c r="A247" s="236"/>
      <c r="B247" s="236"/>
      <c r="C247" s="236"/>
      <c r="D247" s="236"/>
      <c r="E247" s="236"/>
    </row>
    <row r="248" spans="1:6" ht="33" customHeight="1">
      <c r="A248" s="4">
        <v>9</v>
      </c>
      <c r="B248" s="176" t="s">
        <v>134</v>
      </c>
      <c r="C248" s="177"/>
      <c r="D248" s="177"/>
      <c r="E248" s="235"/>
      <c r="F248" s="5"/>
    </row>
    <row r="249" spans="1:5" ht="74.25" customHeight="1">
      <c r="A249" s="234" t="s">
        <v>49</v>
      </c>
      <c r="B249" s="240" t="s">
        <v>135</v>
      </c>
      <c r="C249" s="241"/>
      <c r="D249" s="242"/>
      <c r="E249" s="112">
        <f>1+1</f>
        <v>2</v>
      </c>
    </row>
    <row r="250" spans="1:7" ht="24.75" customHeight="1">
      <c r="A250" s="234"/>
      <c r="B250" s="120" t="s">
        <v>194</v>
      </c>
      <c r="C250" s="237" t="s">
        <v>36</v>
      </c>
      <c r="D250" s="101" t="s">
        <v>159</v>
      </c>
      <c r="E250" s="83"/>
      <c r="G250" s="9"/>
    </row>
    <row r="251" spans="1:7" ht="24.75" customHeight="1">
      <c r="A251" s="234"/>
      <c r="B251" s="120" t="s">
        <v>304</v>
      </c>
      <c r="C251" s="239"/>
      <c r="D251" s="44" t="s">
        <v>159</v>
      </c>
      <c r="E251" s="65"/>
      <c r="G251" s="9"/>
    </row>
    <row r="252" spans="1:5" ht="41.25" customHeight="1">
      <c r="A252" s="234" t="s">
        <v>72</v>
      </c>
      <c r="B252" s="240" t="s">
        <v>359</v>
      </c>
      <c r="C252" s="241"/>
      <c r="D252" s="242"/>
      <c r="E252" s="114">
        <f>1+1</f>
        <v>2</v>
      </c>
    </row>
    <row r="253" spans="1:7" ht="24.75" customHeight="1">
      <c r="A253" s="234"/>
      <c r="B253" s="120" t="s">
        <v>194</v>
      </c>
      <c r="C253" s="237" t="s">
        <v>36</v>
      </c>
      <c r="D253" s="101" t="s">
        <v>159</v>
      </c>
      <c r="E253" s="83"/>
      <c r="G253" s="9"/>
    </row>
    <row r="254" spans="1:7" ht="24.75" customHeight="1">
      <c r="A254" s="234"/>
      <c r="B254" s="120" t="s">
        <v>304</v>
      </c>
      <c r="C254" s="239"/>
      <c r="D254" s="44" t="s">
        <v>159</v>
      </c>
      <c r="E254" s="65"/>
      <c r="G254" s="9"/>
    </row>
    <row r="255" spans="1:5" ht="15">
      <c r="A255" s="236"/>
      <c r="B255" s="236"/>
      <c r="C255" s="236"/>
      <c r="D255" s="236"/>
      <c r="E255" s="236"/>
    </row>
    <row r="256" spans="1:5" ht="15">
      <c r="A256" s="236"/>
      <c r="B256" s="236"/>
      <c r="C256" s="236"/>
      <c r="D256" s="236"/>
      <c r="E256" s="236"/>
    </row>
    <row r="257" spans="1:6" ht="28.5" customHeight="1">
      <c r="A257" s="4">
        <v>10</v>
      </c>
      <c r="B257" s="176" t="s">
        <v>67</v>
      </c>
      <c r="C257" s="177"/>
      <c r="D257" s="177"/>
      <c r="E257" s="235"/>
      <c r="F257" s="5"/>
    </row>
    <row r="258" spans="1:5" ht="30" customHeight="1">
      <c r="A258" s="234" t="s">
        <v>51</v>
      </c>
      <c r="B258" s="240" t="s">
        <v>131</v>
      </c>
      <c r="C258" s="241"/>
      <c r="D258" s="242"/>
      <c r="E258" s="63"/>
    </row>
    <row r="259" spans="1:11" ht="24.75" customHeight="1">
      <c r="A259" s="234"/>
      <c r="B259" s="23" t="s">
        <v>194</v>
      </c>
      <c r="C259" s="237" t="s">
        <v>36</v>
      </c>
      <c r="D259" s="44" t="s">
        <v>317</v>
      </c>
      <c r="E259" s="64"/>
      <c r="G259" s="224"/>
      <c r="H259" s="224"/>
      <c r="I259" s="224"/>
      <c r="J259" s="224"/>
      <c r="K259" s="224"/>
    </row>
    <row r="260" spans="1:7" ht="24.75" customHeight="1">
      <c r="A260" s="234"/>
      <c r="B260" s="23" t="s">
        <v>304</v>
      </c>
      <c r="C260" s="238"/>
      <c r="D260" s="44" t="s">
        <v>318</v>
      </c>
      <c r="E260" s="112">
        <f>29+8+18+19</f>
        <v>74</v>
      </c>
      <c r="G260" s="9"/>
    </row>
    <row r="261" spans="1:7" ht="24.75" customHeight="1">
      <c r="A261" s="234"/>
      <c r="B261" s="23" t="s">
        <v>201</v>
      </c>
      <c r="C261" s="238"/>
      <c r="D261" s="44" t="s">
        <v>319</v>
      </c>
      <c r="E261" s="65"/>
      <c r="G261" s="9"/>
    </row>
    <row r="262" spans="1:5" ht="24.75" customHeight="1">
      <c r="A262" s="234"/>
      <c r="B262" s="23" t="s">
        <v>203</v>
      </c>
      <c r="C262" s="238"/>
      <c r="D262" s="44" t="s">
        <v>320</v>
      </c>
      <c r="E262" s="64"/>
    </row>
    <row r="263" spans="1:5" ht="54.75" customHeight="1">
      <c r="A263" s="234" t="s">
        <v>52</v>
      </c>
      <c r="B263" s="240" t="s">
        <v>153</v>
      </c>
      <c r="C263" s="241"/>
      <c r="D263" s="242"/>
      <c r="E263" s="63"/>
    </row>
    <row r="264" spans="1:11" ht="24.75" customHeight="1">
      <c r="A264" s="234"/>
      <c r="B264" s="23" t="s">
        <v>194</v>
      </c>
      <c r="C264" s="237" t="s">
        <v>36</v>
      </c>
      <c r="D264" s="44" t="s">
        <v>317</v>
      </c>
      <c r="E264" s="112">
        <f>29+8+18+19</f>
        <v>74</v>
      </c>
      <c r="G264" s="224"/>
      <c r="H264" s="224"/>
      <c r="I264" s="224"/>
      <c r="J264" s="224"/>
      <c r="K264" s="224"/>
    </row>
    <row r="265" spans="1:7" ht="24.75" customHeight="1">
      <c r="A265" s="234"/>
      <c r="B265" s="23" t="s">
        <v>304</v>
      </c>
      <c r="C265" s="238"/>
      <c r="D265" s="44" t="s">
        <v>318</v>
      </c>
      <c r="E265" s="64"/>
      <c r="G265" s="9"/>
    </row>
    <row r="266" spans="1:7" ht="24.75" customHeight="1">
      <c r="A266" s="234"/>
      <c r="B266" s="23" t="s">
        <v>201</v>
      </c>
      <c r="C266" s="238"/>
      <c r="D266" s="44" t="s">
        <v>319</v>
      </c>
      <c r="E266" s="65"/>
      <c r="G266" s="9"/>
    </row>
    <row r="267" spans="1:5" ht="24.75" customHeight="1">
      <c r="A267" s="234"/>
      <c r="B267" s="23" t="s">
        <v>203</v>
      </c>
      <c r="C267" s="238"/>
      <c r="D267" s="44" t="s">
        <v>320</v>
      </c>
      <c r="E267" s="112"/>
    </row>
    <row r="268" spans="1:6" ht="27" customHeight="1">
      <c r="A268" s="4" t="s">
        <v>51</v>
      </c>
      <c r="B268" s="176" t="s">
        <v>140</v>
      </c>
      <c r="C268" s="177"/>
      <c r="D268" s="177"/>
      <c r="E268" s="235"/>
      <c r="F268" s="5"/>
    </row>
    <row r="269" spans="1:5" ht="51" customHeight="1">
      <c r="A269" s="246" t="s">
        <v>393</v>
      </c>
      <c r="B269" s="240" t="s">
        <v>383</v>
      </c>
      <c r="C269" s="241"/>
      <c r="D269" s="242"/>
      <c r="E269" s="63"/>
    </row>
    <row r="270" spans="1:5" ht="15.75">
      <c r="A270" s="247"/>
      <c r="B270" s="32" t="s">
        <v>142</v>
      </c>
      <c r="C270" s="237" t="s">
        <v>16</v>
      </c>
      <c r="D270" s="248" t="s">
        <v>334</v>
      </c>
      <c r="E270" s="112">
        <f>0.4*0.6*148</f>
        <v>35.52</v>
      </c>
    </row>
    <row r="271" spans="1:5" ht="15">
      <c r="A271" s="247"/>
      <c r="B271" s="32" t="s">
        <v>143</v>
      </c>
      <c r="C271" s="238"/>
      <c r="D271" s="249"/>
      <c r="E271" s="64"/>
    </row>
    <row r="272" spans="1:5" ht="15.75">
      <c r="A272" s="251"/>
      <c r="B272" s="66" t="s">
        <v>333</v>
      </c>
      <c r="C272" s="239"/>
      <c r="D272" s="250"/>
      <c r="E272" s="64"/>
    </row>
    <row r="273" spans="1:5" ht="44.25" customHeight="1">
      <c r="A273" s="234" t="s">
        <v>393</v>
      </c>
      <c r="B273" s="240" t="s">
        <v>175</v>
      </c>
      <c r="C273" s="241"/>
      <c r="D273" s="242"/>
      <c r="E273" s="63"/>
    </row>
    <row r="274" spans="1:5" ht="15.75">
      <c r="A274" s="234"/>
      <c r="B274" s="105" t="s">
        <v>335</v>
      </c>
      <c r="C274" s="237" t="s">
        <v>16</v>
      </c>
      <c r="D274" s="243" t="s">
        <v>337</v>
      </c>
      <c r="E274" s="59"/>
    </row>
    <row r="275" spans="1:5" ht="15" customHeight="1">
      <c r="A275" s="234"/>
      <c r="B275" s="32" t="s">
        <v>144</v>
      </c>
      <c r="C275" s="238"/>
      <c r="D275" s="244"/>
      <c r="E275" s="111">
        <v>30.87</v>
      </c>
    </row>
    <row r="276" spans="1:5" ht="15">
      <c r="A276" s="234"/>
      <c r="B276" s="32" t="s">
        <v>145</v>
      </c>
      <c r="C276" s="238"/>
      <c r="D276" s="244"/>
      <c r="E276" s="59"/>
    </row>
    <row r="277" spans="1:5" ht="15.75">
      <c r="A277" s="234"/>
      <c r="B277" s="66" t="s">
        <v>333</v>
      </c>
      <c r="C277" s="238"/>
      <c r="D277" s="244"/>
      <c r="E277" s="59"/>
    </row>
    <row r="278" spans="1:5" ht="24" customHeight="1">
      <c r="A278" s="234"/>
      <c r="B278" s="32" t="s">
        <v>336</v>
      </c>
      <c r="C278" s="239"/>
      <c r="D278" s="245"/>
      <c r="E278" s="61"/>
    </row>
    <row r="279" spans="1:5" ht="48.75" customHeight="1">
      <c r="A279" s="234" t="s">
        <v>395</v>
      </c>
      <c r="B279" s="240" t="s">
        <v>172</v>
      </c>
      <c r="C279" s="241"/>
      <c r="D279" s="242"/>
      <c r="E279" s="63"/>
    </row>
    <row r="280" spans="1:11" ht="24.75" customHeight="1">
      <c r="A280" s="234"/>
      <c r="B280" s="23" t="s">
        <v>194</v>
      </c>
      <c r="C280" s="237" t="s">
        <v>0</v>
      </c>
      <c r="D280" s="44" t="s">
        <v>321</v>
      </c>
      <c r="E280" s="112">
        <f>58+16+36+38</f>
        <v>148</v>
      </c>
      <c r="G280" s="224"/>
      <c r="H280" s="224"/>
      <c r="I280" s="224"/>
      <c r="J280" s="224"/>
      <c r="K280" s="224"/>
    </row>
    <row r="281" spans="1:7" ht="24.75" customHeight="1">
      <c r="A281" s="234"/>
      <c r="B281" s="23" t="s">
        <v>304</v>
      </c>
      <c r="C281" s="238"/>
      <c r="D281" s="44" t="s">
        <v>322</v>
      </c>
      <c r="E281" s="64"/>
      <c r="G281" s="9"/>
    </row>
    <row r="282" spans="1:7" ht="24.75" customHeight="1">
      <c r="A282" s="234"/>
      <c r="B282" s="23" t="s">
        <v>201</v>
      </c>
      <c r="C282" s="238"/>
      <c r="D282" s="44" t="s">
        <v>323</v>
      </c>
      <c r="E282" s="65"/>
      <c r="G282" s="9"/>
    </row>
    <row r="283" spans="1:5" ht="24.75" customHeight="1">
      <c r="A283" s="234"/>
      <c r="B283" s="23" t="s">
        <v>203</v>
      </c>
      <c r="C283" s="238"/>
      <c r="D283" s="44" t="s">
        <v>324</v>
      </c>
      <c r="E283" s="64"/>
    </row>
    <row r="284" spans="1:5" ht="15">
      <c r="A284" s="37"/>
      <c r="B284" s="36"/>
      <c r="C284" s="37"/>
      <c r="D284" s="38"/>
      <c r="E284" s="38"/>
    </row>
    <row r="285" spans="1:5" ht="15">
      <c r="A285" s="8"/>
      <c r="B285" s="33"/>
      <c r="C285" s="10"/>
      <c r="D285" s="34"/>
      <c r="E285" s="35"/>
    </row>
    <row r="286" spans="1:5" ht="15">
      <c r="A286" s="8"/>
      <c r="B286" s="190" t="s">
        <v>384</v>
      </c>
      <c r="C286" s="190"/>
      <c r="D286" s="190"/>
      <c r="E286" s="35"/>
    </row>
    <row r="287" spans="1:5" ht="15">
      <c r="A287" s="8"/>
      <c r="B287" s="27"/>
      <c r="C287" s="28"/>
      <c r="D287" s="28"/>
      <c r="E287" s="35"/>
    </row>
    <row r="288" spans="1:5" ht="15">
      <c r="A288" s="8"/>
      <c r="B288" s="27"/>
      <c r="C288" s="28"/>
      <c r="D288" s="28"/>
      <c r="E288" s="35"/>
    </row>
    <row r="289" spans="1:5" ht="15">
      <c r="A289" s="8"/>
      <c r="B289" s="190"/>
      <c r="C289" s="190"/>
      <c r="D289" s="190"/>
      <c r="E289" s="35"/>
    </row>
    <row r="290" spans="1:10" ht="95.25" customHeight="1">
      <c r="A290" s="189" t="s">
        <v>163</v>
      </c>
      <c r="B290" s="189"/>
      <c r="C290" s="189"/>
      <c r="D290" s="189"/>
      <c r="E290" s="189"/>
      <c r="F290" s="73"/>
      <c r="G290" s="73"/>
      <c r="H290" s="73"/>
      <c r="I290" s="73"/>
      <c r="J290" s="73"/>
    </row>
  </sheetData>
  <sheetProtection/>
  <mergeCells count="162">
    <mergeCell ref="A34:A36"/>
    <mergeCell ref="B34:D34"/>
    <mergeCell ref="C35:C36"/>
    <mergeCell ref="A165:A167"/>
    <mergeCell ref="C250:C251"/>
    <mergeCell ref="B249:D249"/>
    <mergeCell ref="B236:E236"/>
    <mergeCell ref="C219:C222"/>
    <mergeCell ref="B153:B154"/>
    <mergeCell ref="A223:A227"/>
    <mergeCell ref="B160:B161"/>
    <mergeCell ref="B162:B163"/>
    <mergeCell ref="B169:B170"/>
    <mergeCell ref="B166:B167"/>
    <mergeCell ref="C166:C167"/>
    <mergeCell ref="C190:C200"/>
    <mergeCell ref="C280:C283"/>
    <mergeCell ref="B25:D25"/>
    <mergeCell ref="B96:D96"/>
    <mergeCell ref="B107:D107"/>
    <mergeCell ref="B118:D118"/>
    <mergeCell ref="B138:D138"/>
    <mergeCell ref="B263:D263"/>
    <mergeCell ref="C259:C262"/>
    <mergeCell ref="A171:E171"/>
    <mergeCell ref="A179:A184"/>
    <mergeCell ref="B252:D252"/>
    <mergeCell ref="B230:D230"/>
    <mergeCell ref="B239:D239"/>
    <mergeCell ref="B244:D244"/>
    <mergeCell ref="B202:E202"/>
    <mergeCell ref="B279:D279"/>
    <mergeCell ref="B257:E257"/>
    <mergeCell ref="B174:E174"/>
    <mergeCell ref="B157:D157"/>
    <mergeCell ref="B165:D165"/>
    <mergeCell ref="A175:A178"/>
    <mergeCell ref="B185:D185"/>
    <mergeCell ref="A185:A188"/>
    <mergeCell ref="D181:D184"/>
    <mergeCell ref="C180:C184"/>
    <mergeCell ref="B158:B159"/>
    <mergeCell ref="C158:C164"/>
    <mergeCell ref="B5:E5"/>
    <mergeCell ref="B23:E23"/>
    <mergeCell ref="C26:C33"/>
    <mergeCell ref="C41:C95"/>
    <mergeCell ref="D176:D178"/>
    <mergeCell ref="A201:E201"/>
    <mergeCell ref="C139:C141"/>
    <mergeCell ref="C186:C188"/>
    <mergeCell ref="C108:C115"/>
    <mergeCell ref="C119:C137"/>
    <mergeCell ref="A290:E290"/>
    <mergeCell ref="B268:E268"/>
    <mergeCell ref="A279:A283"/>
    <mergeCell ref="B248:E248"/>
    <mergeCell ref="A249:A251"/>
    <mergeCell ref="B237:E237"/>
    <mergeCell ref="B289:D289"/>
    <mergeCell ref="A269:A272"/>
    <mergeCell ref="A256:E256"/>
    <mergeCell ref="C253:C254"/>
    <mergeCell ref="A142:A146"/>
    <mergeCell ref="A116:E116"/>
    <mergeCell ref="B119:B125"/>
    <mergeCell ref="B126:B132"/>
    <mergeCell ref="A118:A137"/>
    <mergeCell ref="B147:D147"/>
    <mergeCell ref="A147:A149"/>
    <mergeCell ref="A138:A141"/>
    <mergeCell ref="C143:C146"/>
    <mergeCell ref="B142:D142"/>
    <mergeCell ref="C148:C149"/>
    <mergeCell ref="C97:C106"/>
    <mergeCell ref="C151:C156"/>
    <mergeCell ref="C176:C178"/>
    <mergeCell ref="B172:E172"/>
    <mergeCell ref="B150:D150"/>
    <mergeCell ref="B168:D168"/>
    <mergeCell ref="B175:D175"/>
    <mergeCell ref="B173:E173"/>
    <mergeCell ref="B151:B152"/>
    <mergeCell ref="A1:E1"/>
    <mergeCell ref="B6:E6"/>
    <mergeCell ref="A168:A170"/>
    <mergeCell ref="A25:A33"/>
    <mergeCell ref="A2:E2"/>
    <mergeCell ref="B51:B61"/>
    <mergeCell ref="A107:A115"/>
    <mergeCell ref="C169:C170"/>
    <mergeCell ref="A150:A156"/>
    <mergeCell ref="A157:A164"/>
    <mergeCell ref="A3:E3"/>
    <mergeCell ref="A17:E17"/>
    <mergeCell ref="A22:E22"/>
    <mergeCell ref="B18:E18"/>
    <mergeCell ref="B117:E117"/>
    <mergeCell ref="B133:B137"/>
    <mergeCell ref="B24:E24"/>
    <mergeCell ref="B41:B45"/>
    <mergeCell ref="B46:B50"/>
    <mergeCell ref="A96:A106"/>
    <mergeCell ref="A235:E235"/>
    <mergeCell ref="A189:A200"/>
    <mergeCell ref="A228:E228"/>
    <mergeCell ref="B209:E209"/>
    <mergeCell ref="C204:C207"/>
    <mergeCell ref="C211:C215"/>
    <mergeCell ref="B189:D189"/>
    <mergeCell ref="A203:A207"/>
    <mergeCell ref="A210:A215"/>
    <mergeCell ref="A40:A95"/>
    <mergeCell ref="D186:D188"/>
    <mergeCell ref="B217:E217"/>
    <mergeCell ref="B62:B69"/>
    <mergeCell ref="B70:B79"/>
    <mergeCell ref="B80:B84"/>
    <mergeCell ref="B85:B90"/>
    <mergeCell ref="B91:B95"/>
    <mergeCell ref="D191:D194"/>
    <mergeCell ref="D195:D200"/>
    <mergeCell ref="G231:K231"/>
    <mergeCell ref="A218:A222"/>
    <mergeCell ref="B223:D223"/>
    <mergeCell ref="B203:D203"/>
    <mergeCell ref="C224:C227"/>
    <mergeCell ref="C231:C234"/>
    <mergeCell ref="A208:E208"/>
    <mergeCell ref="B210:D210"/>
    <mergeCell ref="G224:K224"/>
    <mergeCell ref="B218:D218"/>
    <mergeCell ref="G280:K280"/>
    <mergeCell ref="A263:A267"/>
    <mergeCell ref="A255:E255"/>
    <mergeCell ref="G264:K264"/>
    <mergeCell ref="G259:K259"/>
    <mergeCell ref="A258:A262"/>
    <mergeCell ref="A273:A278"/>
    <mergeCell ref="B258:D258"/>
    <mergeCell ref="D270:D272"/>
    <mergeCell ref="C264:C267"/>
    <mergeCell ref="A37:A39"/>
    <mergeCell ref="B37:D37"/>
    <mergeCell ref="C38:C39"/>
    <mergeCell ref="B40:D40"/>
    <mergeCell ref="A252:A254"/>
    <mergeCell ref="B269:D269"/>
    <mergeCell ref="B229:E229"/>
    <mergeCell ref="A216:E216"/>
    <mergeCell ref="C240:C243"/>
    <mergeCell ref="B179:D179"/>
    <mergeCell ref="B286:D286"/>
    <mergeCell ref="A230:A234"/>
    <mergeCell ref="A239:A243"/>
    <mergeCell ref="B238:E238"/>
    <mergeCell ref="A244:A246"/>
    <mergeCell ref="A247:E247"/>
    <mergeCell ref="C270:C272"/>
    <mergeCell ref="B273:D273"/>
    <mergeCell ref="C274:C278"/>
    <mergeCell ref="D274:D278"/>
  </mergeCells>
  <printOptions horizontalCentered="1"/>
  <pageMargins left="0.7086614173228347" right="0.3937007874015748" top="1.3779527559055118" bottom="0.984251968503937" header="0" footer="0"/>
  <pageSetup fitToHeight="12" horizontalDpi="600" verticalDpi="600" orientation="portrait" paperSize="9" scale="9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usuario</cp:lastModifiedBy>
  <cp:lastPrinted>2021-05-14T16:21:33Z</cp:lastPrinted>
  <dcterms:created xsi:type="dcterms:W3CDTF">2009-01-22T17:07:44Z</dcterms:created>
  <dcterms:modified xsi:type="dcterms:W3CDTF">2021-08-05T18:49:26Z</dcterms:modified>
  <cp:category/>
  <cp:version/>
  <cp:contentType/>
  <cp:contentStatus/>
</cp:coreProperties>
</file>