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600" windowHeight="7620" tabRatio="920" activeTab="0"/>
  </bookViews>
  <sheets>
    <sheet name="Planilha Orçamentaria" sheetId="1" r:id="rId1"/>
    <sheet name="Cronograma" sheetId="2" r:id="rId2"/>
    <sheet name="Memoria de Calculo" sheetId="3" r:id="rId3"/>
  </sheets>
  <definedNames>
    <definedName name="_xlnm.Print_Area" localSheetId="1">'Cronograma'!$A$1:$P$39</definedName>
    <definedName name="_xlnm.Print_Area" localSheetId="2">'Memoria de Calculo'!$A$1:$E$351</definedName>
    <definedName name="_xlnm.Print_Area" localSheetId="0">'Planilha Orçamentaria'!$A$6:$G$92</definedName>
    <definedName name="_xlnm.Print_Titles" localSheetId="2">'Memoria de Calculo'!$4:$4</definedName>
    <definedName name="_xlnm.Print_Titles" localSheetId="0">'Planilha Orçamentaria'!$10:$11</definedName>
  </definedNames>
  <calcPr fullCalcOnLoad="1" fullPrecision="0"/>
</workbook>
</file>

<file path=xl/sharedStrings.xml><?xml version="1.0" encoding="utf-8"?>
<sst xmlns="http://schemas.openxmlformats.org/spreadsheetml/2006/main" count="906" uniqueCount="421">
  <si>
    <t>m</t>
  </si>
  <si>
    <t>ITEM</t>
  </si>
  <si>
    <t xml:space="preserve">SERVIÇOS PRELIMINARES </t>
  </si>
  <si>
    <t>1.1</t>
  </si>
  <si>
    <t>m²</t>
  </si>
  <si>
    <t>1.2</t>
  </si>
  <si>
    <t>CRONOGRAMA FÍSICO FINANCEIRO</t>
  </si>
  <si>
    <t>ÍTEM</t>
  </si>
  <si>
    <t>SERVIÇOS PRELIMINARES</t>
  </si>
  <si>
    <t>TOTAL SIMPLES</t>
  </si>
  <si>
    <t>TOTAL ACUMULADO</t>
  </si>
  <si>
    <t>mês</t>
  </si>
  <si>
    <t>DISCRIMINAÇÃO DOS SERVIÇOS</t>
  </si>
  <si>
    <t>VALOR DAS OBRAS E %</t>
  </si>
  <si>
    <t>1º MÊS</t>
  </si>
  <si>
    <t>2º MÊS</t>
  </si>
  <si>
    <t>3º MÊS</t>
  </si>
  <si>
    <t>DESCRIÇÃO</t>
  </si>
  <si>
    <t>Placa de obra nas dimensões de 2.0 x 4.0 m, padrão SEDURB</t>
  </si>
  <si>
    <t>m³</t>
  </si>
  <si>
    <t>QUANT.</t>
  </si>
  <si>
    <t>PLANILHA ORÇAMENTÁRIA</t>
  </si>
  <si>
    <t>2.1</t>
  </si>
  <si>
    <t>2.2</t>
  </si>
  <si>
    <t>4º MÊS</t>
  </si>
  <si>
    <t>PAVIMENTAÇÃO</t>
  </si>
  <si>
    <t>1.3</t>
  </si>
  <si>
    <t>41580/DER</t>
  </si>
  <si>
    <t>Aluguel de container tipo sanitário com 3 vasos sanitários, lavatório, mictório, 5 chuveiros, 2 venezianas e piso especial</t>
  </si>
  <si>
    <t>MOVIMENTAÇÃO DE TERRA</t>
  </si>
  <si>
    <t>PMAG</t>
  </si>
  <si>
    <t>PRAZO DE EXECUÇÃO</t>
  </si>
  <si>
    <t>3.1</t>
  </si>
  <si>
    <t>3.2</t>
  </si>
  <si>
    <t>3.3</t>
  </si>
  <si>
    <t>4.1</t>
  </si>
  <si>
    <t>4.2</t>
  </si>
  <si>
    <t>4.3</t>
  </si>
  <si>
    <t>3.4</t>
  </si>
  <si>
    <t>4.4</t>
  </si>
  <si>
    <t>und</t>
  </si>
  <si>
    <t>A</t>
  </si>
  <si>
    <t>DRENAGEM E PAVIMENTAÇÃO</t>
  </si>
  <si>
    <t>REDE COLETORA DE ESGOTO SANITÁRIO</t>
  </si>
  <si>
    <t>B</t>
  </si>
  <si>
    <t>5.1</t>
  </si>
  <si>
    <t>MOVIMENTO DE TERRA</t>
  </si>
  <si>
    <t>TUBULAÇÕES</t>
  </si>
  <si>
    <t>6.1</t>
  </si>
  <si>
    <t>7.1</t>
  </si>
  <si>
    <t>POÇO DE VISITA</t>
  </si>
  <si>
    <t>8.1</t>
  </si>
  <si>
    <t>und.</t>
  </si>
  <si>
    <t>9.1</t>
  </si>
  <si>
    <t>LIGAÇÃO DOMICILIAR DE ESGOTO</t>
  </si>
  <si>
    <t>10.1</t>
  </si>
  <si>
    <t>10.2</t>
  </si>
  <si>
    <t>Corpo BSTC (greide) diâmetro 0,60 m CA-2 MF inclusive escavação, reaterro e transporte do tubo</t>
  </si>
  <si>
    <t>40430/ DER</t>
  </si>
  <si>
    <t>Altura do colchão = 0,10m</t>
  </si>
  <si>
    <t>40425/ DER</t>
  </si>
  <si>
    <t>Corpo BSTC (greide) diâmetro 0,40 m CA-2 MF inclusive escavação ,reaterro e transporte do tubo</t>
  </si>
  <si>
    <t>4.5</t>
  </si>
  <si>
    <t>40421/ DER</t>
  </si>
  <si>
    <t>Corpo BSTC (greide) diâmetro 0,30 m CA-1 MF inclusive escavação, reaterro e transporte do tubo</t>
  </si>
  <si>
    <t>41241/ DER</t>
  </si>
  <si>
    <t>Caixa ralo em blocos pré-moldados e grelha articulada em FFA em Vias Urbanas</t>
  </si>
  <si>
    <t>Larg. do corte = 0,60m</t>
  </si>
  <si>
    <t>Prof. do corte = 1,15m</t>
  </si>
  <si>
    <t>Larg. da vala = 0,60m</t>
  </si>
  <si>
    <t>Área tubo 150mm = 3,1416x0,075²</t>
  </si>
  <si>
    <t>REDE DE ÁGUA TRATADA</t>
  </si>
  <si>
    <t>LIGAÇÃO DOMICILIAR DE ÁGUA</t>
  </si>
  <si>
    <t>11.1</t>
  </si>
  <si>
    <t>11.4</t>
  </si>
  <si>
    <t>COMPOSIÇÃO 01</t>
  </si>
  <si>
    <t>SINAPI 83627</t>
  </si>
  <si>
    <t>8.2</t>
  </si>
  <si>
    <t>SINAPI 74166/002</t>
  </si>
  <si>
    <t>1.4</t>
  </si>
  <si>
    <t>5.2</t>
  </si>
  <si>
    <t>5.3</t>
  </si>
  <si>
    <t>7.2</t>
  </si>
  <si>
    <t>9.2</t>
  </si>
  <si>
    <t>11.5</t>
  </si>
  <si>
    <t>SINAPI 6171</t>
  </si>
  <si>
    <t>8.3</t>
  </si>
  <si>
    <t>SINAPI 83633</t>
  </si>
  <si>
    <t>PREVENÇÃO E COMBATE A INCÊNDIO</t>
  </si>
  <si>
    <t>1.5</t>
  </si>
  <si>
    <t>1.6</t>
  </si>
  <si>
    <t>1.7</t>
  </si>
  <si>
    <t>Escarificação e compactação de base (100% P.I.) H-&gt;0,20m</t>
  </si>
  <si>
    <t>Mobilização e desmobilização de container de 51 km até 150 km</t>
  </si>
  <si>
    <t>Escavação mecânica, para preparo da caixa de rua, conforme projeto</t>
  </si>
  <si>
    <t>2.3</t>
  </si>
  <si>
    <t>Carga, descarga e bota-fora de material proveniente de escavações</t>
  </si>
  <si>
    <t>5.4</t>
  </si>
  <si>
    <t>Larg. do corte = 1,00m</t>
  </si>
  <si>
    <t>Comprimento corte = 1,00m</t>
  </si>
  <si>
    <t>Comprimento do corte = 1,00m</t>
  </si>
  <si>
    <t>Área tubo 600mm = 3,1416x0,30²</t>
  </si>
  <si>
    <t>Altura do aterro = 1,15m</t>
  </si>
  <si>
    <t>DRENAGEM</t>
  </si>
  <si>
    <t>MOVIMENTAÇÃO DE TERRA                      (Rede Esgoto)</t>
  </si>
  <si>
    <t>TUBULAÇÕES                                      (Rede Esgoto)</t>
  </si>
  <si>
    <t>POÇO DE VISITA                                     (Rede Esgoto)</t>
  </si>
  <si>
    <t>5º MÊS</t>
  </si>
  <si>
    <t>6º MÊS</t>
  </si>
  <si>
    <t>7º MÊS</t>
  </si>
  <si>
    <t>8º MÊS</t>
  </si>
  <si>
    <t>9º MÊS</t>
  </si>
  <si>
    <t>10º MÊS</t>
  </si>
  <si>
    <t>TOTAL</t>
  </si>
  <si>
    <t>Caixa de Inspeção ø0,60m</t>
  </si>
  <si>
    <t>Rede ø 0,15m</t>
  </si>
  <si>
    <t>CÁLCULO</t>
  </si>
  <si>
    <t>41496/DER</t>
  </si>
  <si>
    <t>41501/DER</t>
  </si>
  <si>
    <t xml:space="preserve">Rede de água c/ padrão de entrada d'água diâm. 3/4" conf. CESAN, incl. tubos e conexões p/ aliment., distrib., extravas. e limp., cons. o padrão a 25m
</t>
  </si>
  <si>
    <t>41499/DER</t>
  </si>
  <si>
    <t>Rede de esgoto, contendo fossa e filtro, incl. tubos e conexões de ligação entre caixas, considerando distância de 25m</t>
  </si>
  <si>
    <t>41503/DER</t>
  </si>
  <si>
    <t>1.8</t>
  </si>
  <si>
    <t>Rede de luz, incl. padrão entr. energia trifás. cabo ligação até barracões, quadro distrib., disj. E  chave de força, cons. 20m entre padrão entr.e QDG</t>
  </si>
  <si>
    <t>40663/DER</t>
  </si>
  <si>
    <t>Meio fio de concreto pré-moldado (12 x 30 x 15) cm, inclusive caiação e transporte do meio fio</t>
  </si>
  <si>
    <t>40884/DER</t>
  </si>
  <si>
    <t>41180 / DER</t>
  </si>
  <si>
    <t>Sarjeta de concreto SCA 40/10</t>
  </si>
  <si>
    <t>41240 / DER</t>
  </si>
  <si>
    <t>Passeio em concreto, largura 2,00m, acabamento em ladrilho hidráulico podotátil (L=0,40m)</t>
  </si>
  <si>
    <t>Corpo BSTC (greide) diâmetro 0,40 m CA-2 MF inclusive escavação, reaterro e transporte do tubo</t>
  </si>
  <si>
    <t>43051/ DER</t>
  </si>
  <si>
    <t>Poço de visita (tubo D=0,60 m) H=1,70 m com tampão F.F.A.P., inclusive escavação e
transporte do tampão, em Vias Urbanas</t>
  </si>
  <si>
    <t>DRENAGEM E OBRAS DE ARTE</t>
  </si>
  <si>
    <t>A = 2,00x4,00 = 8,00m²</t>
  </si>
  <si>
    <t>Q = 1,00 x 10mêses</t>
  </si>
  <si>
    <t>A = 2,00 x 6,00 = 12,00m²</t>
  </si>
  <si>
    <t>Rede de água c/ padrão de entrada d'água diâm. 3/4" conf. CESAN, incl. tubos e conexões p/ aliment., distrib., extravas. e limp., cons. o padrão a 25m</t>
  </si>
  <si>
    <t>C = 20,00m</t>
  </si>
  <si>
    <t>MEMÓRIA DE CÁLCULO</t>
  </si>
  <si>
    <t>Q1 = 2x4,00m = 8,00m - PV6</t>
  </si>
  <si>
    <t>Q2 = 2x4,00m = 8,00m - PV5</t>
  </si>
  <si>
    <t>Q3 = 1x4,00m = 4,00m - PV2</t>
  </si>
  <si>
    <t>Q4 = 1x13,00m = 13,00m - PV2</t>
  </si>
  <si>
    <t>Q5 = 1x15,00m = 15,00m - PV2</t>
  </si>
  <si>
    <t>Q6 = 2x4,00m = 8,00m - PV2</t>
  </si>
  <si>
    <t>Rua Projetada 18</t>
  </si>
  <si>
    <t>Q7 = 2x3,00m = 6,00m - PV2</t>
  </si>
  <si>
    <t>Q8 = 1x5,00m = 5,00m - PV3</t>
  </si>
  <si>
    <t>Q9 = 1x6,00m = 6,00m - PV3</t>
  </si>
  <si>
    <t>Rua Projetada 19</t>
  </si>
  <si>
    <t>Q11 = 1x7,00m = 7,00m - PV4</t>
  </si>
  <si>
    <t>Q12 = 1x8,00m = 8,00m - PV4</t>
  </si>
  <si>
    <t>Q13 = 1x10,00m = 10,00m - PV4</t>
  </si>
  <si>
    <t>Q10 = 1x7,00m = 7,00m - PV3</t>
  </si>
  <si>
    <t>Rua Projetada 20</t>
  </si>
  <si>
    <t>Q14 = 2x3,00m = 6,00m - PV2</t>
  </si>
  <si>
    <t>Q15 = 2x3,00m = 6,00m - PV2</t>
  </si>
  <si>
    <t>T-19 = 46,34m</t>
  </si>
  <si>
    <t>T-21 = 57,86m</t>
  </si>
  <si>
    <t>T-25 = 31,63m</t>
  </si>
  <si>
    <t>T-25 = 100,98m</t>
  </si>
  <si>
    <t>T-26 = 53,28m</t>
  </si>
  <si>
    <t>T-27 = 33,00m</t>
  </si>
  <si>
    <t>T-20 = 66,86m</t>
  </si>
  <si>
    <t>T-22 = 23,94m</t>
  </si>
  <si>
    <t>T-23 = 36,30m</t>
  </si>
  <si>
    <t>Poço de visita (tubo D=0,60 m) H=1,70 m com tampão F.F.A.P., inclusive escavação e transporte do tampão, em Vias Urbanas</t>
  </si>
  <si>
    <t>Rua Projetada 12</t>
  </si>
  <si>
    <t>Rua Projetada 13</t>
  </si>
  <si>
    <t>Rua Projetada 14</t>
  </si>
  <si>
    <t>Rua Projetada 15</t>
  </si>
  <si>
    <t>Rua Projetada 17</t>
  </si>
  <si>
    <t>Rua Projetada 21</t>
  </si>
  <si>
    <t>TUBO DE PVC PARA REDE COLETORA DE ESGOTO DE PAREDE MACIÇA, DN 150 MM, JUNTA ELÁSTICA, INSTALADO EM LOCAL COM NÍVEL ALTO DE INTERFERÊNCIAS - FORNECIMENTO E ASSENTAMENTO. AF_06/2015</t>
  </si>
  <si>
    <t>SINAPI 90710</t>
  </si>
  <si>
    <t>TAMPAO FOFO ARTICULADO, CLASSE B125 CARGA MAX 12,5 T, REDONDO TAMPA 600 MM, REDE PLUVIAL/ESGOTO, P = CHAMINE CX AREIA / POCO VISITA ASSENTADO COM ARG CIM/AREIA 1:4, FORNECIMENTO E ASSENTAMENTO</t>
  </si>
  <si>
    <t>(COMPOSIÇÃO REPRESENTATIVA) POÇO DE VISITA CIRCULAR PARA ESGOTO, EM CONCRETO PRÉ-MOLDADO, DIÂMETRO INTERNO = 1,0 M, PROFUNDIDADE ATÉ 1,50 M,EXCLUINDO TAMPÃO. AF_04/2018</t>
  </si>
  <si>
    <t>SINAPI 98415</t>
  </si>
  <si>
    <t>COLETOR PREDIAL DE ESGOTO, DA CAIXA ATÉ A REDE (DISTÂNCIA = 10 M, LARGURA DA VALA = 0,65 M), INCLUINDO ESCAVAÇÃO MANUAL, PREPARO DE FUNDO DEVALA E REATERRO MANUAL COM COMPACTAÇÃO MECANIZADA, TUBO PVC P/ REDE COLETORA ESGOTO JEI DN 100 MM E CONEXÕES - FORNECIMENTO E INSTALAÇÃO. AF_03/2016</t>
  </si>
  <si>
    <t>SINAPI 93350</t>
  </si>
  <si>
    <r>
      <t xml:space="preserve">Entre PV7 ao PV56: 56,64+45,72+44,85+44,85+31,63+50,49+50,49+53,28+33,00 = </t>
    </r>
    <r>
      <rPr>
        <b/>
        <sz val="12"/>
        <rFont val="Arial"/>
        <family val="2"/>
      </rPr>
      <t>410,95m</t>
    </r>
  </si>
  <si>
    <r>
      <t xml:space="preserve">Entre PV41 ao PV47: 58,76+58,76 = </t>
    </r>
    <r>
      <rPr>
        <b/>
        <sz val="12"/>
        <rFont val="Arial"/>
        <family val="2"/>
      </rPr>
      <t>117,52m</t>
    </r>
  </si>
  <si>
    <r>
      <t xml:space="preserve">Entre PV41 ao PV46: = </t>
    </r>
    <r>
      <rPr>
        <b/>
        <sz val="12"/>
        <rFont val="Arial"/>
        <family val="2"/>
      </rPr>
      <t>68,82m</t>
    </r>
  </si>
  <si>
    <r>
      <t xml:space="preserve">Entre PV38 ao PV44: 36,00+37,60 = </t>
    </r>
    <r>
      <rPr>
        <b/>
        <sz val="12"/>
        <rFont val="Arial"/>
        <family val="2"/>
      </rPr>
      <t>73,60m</t>
    </r>
  </si>
  <si>
    <r>
      <t xml:space="preserve">Entre PV2 ao PV37: 23,97+48,89 = </t>
    </r>
    <r>
      <rPr>
        <b/>
        <sz val="12"/>
        <rFont val="Arial"/>
        <family val="2"/>
      </rPr>
      <t>72,86m</t>
    </r>
  </si>
  <si>
    <r>
      <t xml:space="preserve">Entre PV37 ao PV95: = </t>
    </r>
    <r>
      <rPr>
        <b/>
        <sz val="12"/>
        <rFont val="Arial"/>
        <family val="2"/>
      </rPr>
      <t>65,09m</t>
    </r>
  </si>
  <si>
    <r>
      <t xml:space="preserve">Entre PV76 ao PV98: 66,86+36,30 = </t>
    </r>
    <r>
      <rPr>
        <b/>
        <sz val="12"/>
        <rFont val="Arial"/>
        <family val="2"/>
      </rPr>
      <t>103,16m</t>
    </r>
  </si>
  <si>
    <r>
      <t xml:space="preserve">Entre PV5 ao PV47: 43,79+57,86+57,86+23,94 = </t>
    </r>
    <r>
      <rPr>
        <b/>
        <sz val="12"/>
        <rFont val="Arial"/>
        <family val="2"/>
      </rPr>
      <t>183,45m</t>
    </r>
  </si>
  <si>
    <r>
      <t xml:space="preserve">Entre PV6 ao PV75: 58,98+58,98+58,98 = </t>
    </r>
    <r>
      <rPr>
        <b/>
        <sz val="12"/>
        <rFont val="Arial"/>
        <family val="2"/>
      </rPr>
      <t>176,94m</t>
    </r>
  </si>
  <si>
    <t>Parte - Rua Projetada 09</t>
  </si>
  <si>
    <t>PV - 25/26/27/75/76/77/78/79 = 8,00</t>
  </si>
  <si>
    <t>CAIXA DE INSPECAO EM ANEL DE CONCRETO PRE MOLDADO, COM 950MM DE ALTURA TOTAL. ANEIS COM ESP=50MM, DIAM.=600MM. EXCLUSIVE TAMPAO E ESCAVACAO- FORNECIMENTO E INSTALACAO</t>
  </si>
  <si>
    <t>Rua Projetada 16</t>
  </si>
  <si>
    <r>
      <t xml:space="preserve">Entre PV1 ao PV7: 26,30+40,28+40,28+45,86+33,67+40,68 = </t>
    </r>
    <r>
      <rPr>
        <b/>
        <sz val="12"/>
        <rFont val="Arial"/>
        <family val="2"/>
      </rPr>
      <t>227,07m</t>
    </r>
  </si>
  <si>
    <t>Q3 = 11,00und</t>
  </si>
  <si>
    <t>Q4 = 3,00und</t>
  </si>
  <si>
    <t>Q5 = 4,00und</t>
  </si>
  <si>
    <t>Q6 = 4,00und</t>
  </si>
  <si>
    <t>Q7 = 11,00und</t>
  </si>
  <si>
    <t>Q8 = 3,00und</t>
  </si>
  <si>
    <t>Q9 = 13,00und</t>
  </si>
  <si>
    <t>Q10 = 8,00und</t>
  </si>
  <si>
    <t>Q11 = 21,00und</t>
  </si>
  <si>
    <t>Parte AV. Projetada 01</t>
  </si>
  <si>
    <r>
      <t xml:space="preserve">T17/18/19/20/21/51/52/61 = 56,64+45,72+44,85+44,85+31,63+100,98+53,28+33,00 = </t>
    </r>
    <r>
      <rPr>
        <b/>
        <sz val="12"/>
        <rFont val="Arial"/>
        <family val="2"/>
      </rPr>
      <t>410,95m</t>
    </r>
  </si>
  <si>
    <r>
      <t xml:space="preserve">T49 = </t>
    </r>
    <r>
      <rPr>
        <b/>
        <sz val="12"/>
        <rFont val="Arial"/>
        <family val="2"/>
      </rPr>
      <t>117,52m</t>
    </r>
  </si>
  <si>
    <r>
      <t xml:space="preserve">T54 = </t>
    </r>
    <r>
      <rPr>
        <b/>
        <sz val="12"/>
        <rFont val="Arial"/>
        <family val="2"/>
      </rPr>
      <t>68,82m</t>
    </r>
  </si>
  <si>
    <r>
      <t xml:space="preserve">T44/45 = 37,60+36,00 = </t>
    </r>
    <r>
      <rPr>
        <b/>
        <sz val="12"/>
        <rFont val="Arial"/>
        <family val="2"/>
      </rPr>
      <t>73,60m</t>
    </r>
  </si>
  <si>
    <r>
      <t xml:space="preserve">T39 = </t>
    </r>
    <r>
      <rPr>
        <b/>
        <sz val="12"/>
        <rFont val="Arial"/>
        <family val="2"/>
      </rPr>
      <t>65,09m</t>
    </r>
  </si>
  <si>
    <r>
      <t xml:space="preserve">T40/41/42/47/46 = 18,37+35,95+33,02+46,34+29,99 = </t>
    </r>
    <r>
      <rPr>
        <b/>
        <sz val="12"/>
        <rFont val="Arial"/>
        <family val="2"/>
      </rPr>
      <t>163,67m</t>
    </r>
  </si>
  <si>
    <r>
      <t xml:space="preserve">T48/50 = 66,86+36,30 = </t>
    </r>
    <r>
      <rPr>
        <b/>
        <sz val="12"/>
        <rFont val="Arial"/>
        <family val="2"/>
      </rPr>
      <t>103,16m</t>
    </r>
  </si>
  <si>
    <r>
      <t xml:space="preserve">T8/9/10 = 43,79+115,12+23,94 = </t>
    </r>
    <r>
      <rPr>
        <b/>
        <sz val="12"/>
        <rFont val="Arial"/>
        <family val="2"/>
      </rPr>
      <t>182,85m</t>
    </r>
  </si>
  <si>
    <r>
      <t xml:space="preserve">T12/13 = 58,98+117,96 = </t>
    </r>
    <r>
      <rPr>
        <b/>
        <sz val="12"/>
        <rFont val="Arial"/>
        <family val="2"/>
      </rPr>
      <t>176,94m</t>
    </r>
  </si>
  <si>
    <r>
      <t xml:space="preserve">T11/14 = 33,67+40,68 = </t>
    </r>
    <r>
      <rPr>
        <b/>
        <sz val="12"/>
        <rFont val="Arial"/>
        <family val="2"/>
      </rPr>
      <t>74,35m</t>
    </r>
  </si>
  <si>
    <t>Parte - Av. Projetada 01</t>
  </si>
  <si>
    <r>
      <t xml:space="preserve">T37/38 = 23,97+48,89 = </t>
    </r>
    <r>
      <rPr>
        <b/>
        <sz val="12"/>
        <rFont val="Arial"/>
        <family val="2"/>
      </rPr>
      <t>72,86m</t>
    </r>
  </si>
  <si>
    <r>
      <t xml:space="preserve">T3/4 = 80,56+45,86 = </t>
    </r>
    <r>
      <rPr>
        <b/>
        <sz val="12"/>
        <rFont val="Arial"/>
        <family val="2"/>
      </rPr>
      <t>126,42m</t>
    </r>
  </si>
  <si>
    <r>
      <t xml:space="preserve">T1/2 = 12,12+23,95 = </t>
    </r>
    <r>
      <rPr>
        <b/>
        <sz val="12"/>
        <rFont val="Arial"/>
        <family val="2"/>
      </rPr>
      <t>36,07m</t>
    </r>
  </si>
  <si>
    <t>REDE AGUA PVC PBA 15 DN 50 S/PAV</t>
  </si>
  <si>
    <t>CESAN 7250100010</t>
  </si>
  <si>
    <t>REDE AGUA PVC PBA 15 DN 75 S/PAV</t>
  </si>
  <si>
    <t>CESAN 7250100050</t>
  </si>
  <si>
    <t>REDE AGUA PVC PBA 15 DN 100 S/PAV</t>
  </si>
  <si>
    <t>CESAN 7250100090</t>
  </si>
  <si>
    <t>REDE AGUA PVC DEFOFO DN 150 S/PAV</t>
  </si>
  <si>
    <t>CESAN 7250200050</t>
  </si>
  <si>
    <t>LIG PRED AGUA DN 20, C/ COLAR, S/PAV</t>
  </si>
  <si>
    <t>CESAN 7200100090</t>
  </si>
  <si>
    <t>HIDRANTE SUBTERRANEO FERRO FUNDIDO C/ CURVA LONGA E CAIXA DN=75MM - "Hidrante de Coluna no Passeio"</t>
  </si>
  <si>
    <t>Q1 = 1,00und</t>
  </si>
  <si>
    <t>TAMPA DE CONCRETO ARMADO 60X60X5CM PARA CAIXA</t>
  </si>
  <si>
    <r>
      <rPr>
        <b/>
        <sz val="12"/>
        <rFont val="Arial"/>
        <family val="2"/>
      </rPr>
      <t xml:space="preserve">A2 = </t>
    </r>
    <r>
      <rPr>
        <sz val="12"/>
        <rFont val="Arial"/>
        <family val="2"/>
      </rPr>
      <t>24,70m x 2,00</t>
    </r>
    <r>
      <rPr>
        <b/>
        <sz val="12"/>
        <rFont val="Arial"/>
        <family val="2"/>
      </rPr>
      <t xml:space="preserve"> = 49,40m²              </t>
    </r>
  </si>
  <si>
    <r>
      <rPr>
        <b/>
        <sz val="12"/>
        <rFont val="Arial"/>
        <family val="2"/>
      </rPr>
      <t xml:space="preserve">A3 = </t>
    </r>
    <r>
      <rPr>
        <sz val="12"/>
        <rFont val="Arial"/>
        <family val="2"/>
      </rPr>
      <t>94,65+15,70+69,97 = 180,32m x 2,00</t>
    </r>
    <r>
      <rPr>
        <b/>
        <sz val="12"/>
        <rFont val="Arial"/>
        <family val="2"/>
      </rPr>
      <t xml:space="preserve"> = 360,64m²              </t>
    </r>
  </si>
  <si>
    <r>
      <rPr>
        <b/>
        <sz val="12"/>
        <rFont val="Arial"/>
        <family val="2"/>
      </rPr>
      <t xml:space="preserve">A4 = </t>
    </r>
    <r>
      <rPr>
        <sz val="12"/>
        <rFont val="Arial"/>
        <family val="2"/>
      </rPr>
      <t>47,35+44,55+15,70 = 107,60m x 2,00</t>
    </r>
    <r>
      <rPr>
        <b/>
        <sz val="12"/>
        <rFont val="Arial"/>
        <family val="2"/>
      </rPr>
      <t xml:space="preserve"> = 215,20m²              </t>
    </r>
  </si>
  <si>
    <r>
      <rPr>
        <b/>
        <sz val="12"/>
        <rFont val="Arial"/>
        <family val="2"/>
      </rPr>
      <t xml:space="preserve">A6 = </t>
    </r>
    <r>
      <rPr>
        <sz val="12"/>
        <rFont val="Arial"/>
        <family val="2"/>
      </rPr>
      <t>48,75+66,60 = 115,35m x 2,00</t>
    </r>
    <r>
      <rPr>
        <b/>
        <sz val="12"/>
        <rFont val="Arial"/>
        <family val="2"/>
      </rPr>
      <t xml:space="preserve"> = 230,70m²              </t>
    </r>
  </si>
  <si>
    <r>
      <rPr>
        <b/>
        <sz val="12"/>
        <rFont val="Arial"/>
        <family val="2"/>
      </rPr>
      <t xml:space="preserve">A5 = </t>
    </r>
    <r>
      <rPr>
        <sz val="12"/>
        <rFont val="Arial"/>
        <family val="2"/>
      </rPr>
      <t>31,40+9,27 = 40,67m x 2,50</t>
    </r>
    <r>
      <rPr>
        <b/>
        <sz val="12"/>
        <rFont val="Arial"/>
        <family val="2"/>
      </rPr>
      <t xml:space="preserve"> = 101,68m²              </t>
    </r>
  </si>
  <si>
    <r>
      <rPr>
        <b/>
        <sz val="12"/>
        <rFont val="Arial"/>
        <family val="2"/>
      </rPr>
      <t xml:space="preserve">A7 = </t>
    </r>
    <r>
      <rPr>
        <sz val="12"/>
        <rFont val="Arial"/>
        <family val="2"/>
      </rPr>
      <t>43,15+10,95+25,80+19,25 = 99,15m x 2,00</t>
    </r>
    <r>
      <rPr>
        <b/>
        <sz val="12"/>
        <rFont val="Arial"/>
        <family val="2"/>
      </rPr>
      <t xml:space="preserve"> = 198,30m²              </t>
    </r>
  </si>
  <si>
    <r>
      <rPr>
        <b/>
        <sz val="12"/>
        <rFont val="Arial"/>
        <family val="2"/>
      </rPr>
      <t xml:space="preserve">C3 = </t>
    </r>
    <r>
      <rPr>
        <sz val="12"/>
        <rFont val="Arial"/>
        <family val="2"/>
      </rPr>
      <t xml:space="preserve">18,35+47,35+15,70+44,55 = </t>
    </r>
    <r>
      <rPr>
        <b/>
        <sz val="12"/>
        <rFont val="Arial"/>
        <family val="2"/>
      </rPr>
      <t xml:space="preserve">125,95m                                         </t>
    </r>
  </si>
  <si>
    <r>
      <rPr>
        <b/>
        <sz val="12"/>
        <rFont val="Arial"/>
        <family val="2"/>
      </rPr>
      <t xml:space="preserve">C4 = </t>
    </r>
    <r>
      <rPr>
        <sz val="12"/>
        <rFont val="Arial"/>
        <family val="2"/>
      </rPr>
      <t xml:space="preserve">31,40+48,75+66,60+9,27 = </t>
    </r>
    <r>
      <rPr>
        <b/>
        <sz val="12"/>
        <rFont val="Arial"/>
        <family val="2"/>
      </rPr>
      <t xml:space="preserve">156,02m                                           </t>
    </r>
  </si>
  <si>
    <r>
      <rPr>
        <b/>
        <sz val="12"/>
        <rFont val="Arial"/>
        <family val="2"/>
      </rPr>
      <t xml:space="preserve">A8 = </t>
    </r>
    <r>
      <rPr>
        <sz val="12"/>
        <rFont val="Arial"/>
        <family val="2"/>
      </rPr>
      <t>31,30+30,10 = 61,40m x 2,00</t>
    </r>
    <r>
      <rPr>
        <b/>
        <sz val="12"/>
        <rFont val="Arial"/>
        <family val="2"/>
      </rPr>
      <t xml:space="preserve"> = 122,80m²              </t>
    </r>
  </si>
  <si>
    <t>9.3</t>
  </si>
  <si>
    <t>9.4</t>
  </si>
  <si>
    <t>Q1 = 31,00und</t>
  </si>
  <si>
    <t>Quantidade de caixas = 139,00</t>
  </si>
  <si>
    <t>POÇO DE VISITA - REGISTRO</t>
  </si>
  <si>
    <t>(COMPOSIÇÃO REPRESENTATIVA) POÇO DE VISITA CIRCULAR PARA AGUA, EM CONCRETO PRÉ-MOLDADO, DIÂMETRO INTERNO = 1,0 M, PROFUNDIDADE ATÉ 1,50 M,EXCLUINDO TAMPÃO. AF_04/2018</t>
  </si>
  <si>
    <t>TAMPAO FOFO ARTICULADO, CLASSE B125 CARGA MAX 12,5 T, REDONDO TAMPA 600 MM, REDE AGUA, P = CHAMINE CX AREIA / POCO VISITA ASSENTADO COM ARG CIM/AREIA 1:4, FORNECIMENTO E ASSENTAMENTO</t>
  </si>
  <si>
    <t>11.2</t>
  </si>
  <si>
    <t>12.1</t>
  </si>
  <si>
    <t>POÇO DE VISITA  - REGISTRO                                   (Rede Água)</t>
  </si>
  <si>
    <t>41500/DER</t>
  </si>
  <si>
    <t>Barracão em chapa compensada 12mm e pont. 8x8cm, piso cimentado e cobertura de telhas
fibrocimento 6mm, incl. ponto de luz</t>
  </si>
  <si>
    <t>41531/DER</t>
  </si>
  <si>
    <t>11.1.1</t>
  </si>
  <si>
    <t>EXTENSÃO DE REDE DOMICILIAR DE ÁGUA NA CALÇADA</t>
  </si>
  <si>
    <t>EXTENSÃO DE REDE DOMICILIAR DE ESGOTO NA CALÇADA</t>
  </si>
  <si>
    <t>8.1.1</t>
  </si>
  <si>
    <t>11.1.2</t>
  </si>
  <si>
    <t>11.1.3</t>
  </si>
  <si>
    <t>C1 = 31,00und x 2,50m = 77,50m</t>
  </si>
  <si>
    <t>C3 = 11,00und x 2,00m = 22,00m</t>
  </si>
  <si>
    <t>C4 = 3,00und x 2,00m = 6,00m</t>
  </si>
  <si>
    <t>C5 = 4,00und x 2,00m = 8,00m</t>
  </si>
  <si>
    <t>C6 = 4,00und x 2,00m = 8,00m</t>
  </si>
  <si>
    <t>C7 = 11,00und x 2,00m = 22,00m</t>
  </si>
  <si>
    <t>C8 = 3,00und x 2,00m = 6,00m</t>
  </si>
  <si>
    <t>C9 = 13,00und x 2,00m = 26,00m</t>
  </si>
  <si>
    <t>C10 = 8,00und x 2,00m = 16,00m</t>
  </si>
  <si>
    <t>C11 = 21,00und x 2,00m = 42,00m</t>
  </si>
  <si>
    <t>Rede ø 0,10m</t>
  </si>
  <si>
    <t>Comprimento rede = 293,50m</t>
  </si>
  <si>
    <t>Área tubo 10mm = 3,1416x0,05²</t>
  </si>
  <si>
    <t>Prof. do corte = 0,60m</t>
  </si>
  <si>
    <t>Larg. do corte = 0,40m</t>
  </si>
  <si>
    <t>V1 = 0,40x0,60 x 293,50 = 70,44m³</t>
  </si>
  <si>
    <t>Altura do aterro = 0,60m</t>
  </si>
  <si>
    <t>Larg. da vala = 0,40m</t>
  </si>
  <si>
    <t>V1 = (0,40x0,60) - (3,1416x0,05²) x 293,50 = 68,13m³</t>
  </si>
  <si>
    <t>Rua Projetada 09</t>
  </si>
  <si>
    <t>Av. Projetada 01</t>
  </si>
  <si>
    <t>TUBULAÇÕES E REGISTROS</t>
  </si>
  <si>
    <t>9.5</t>
  </si>
  <si>
    <t>9.6</t>
  </si>
  <si>
    <t>COMPOSIÇÃO 02</t>
  </si>
  <si>
    <t>COMPOSIÇÃO 03</t>
  </si>
  <si>
    <t>C</t>
  </si>
  <si>
    <t>SISTEMA DE DISTRIBUIÇÃO DE ÁGUA TRATADA</t>
  </si>
  <si>
    <t xml:space="preserve">SISTEMA DE ESGOTAMENTO SANITÁRIO </t>
  </si>
  <si>
    <t xml:space="preserve">SISTEMA DE DISTRIBUIÇÃO DE ÁGUA TRATADA </t>
  </si>
  <si>
    <t>Fornecimento e instalação de válvula gaveta FoFo chata  c/BJE p/ tubo de PVC, cunha de borracha ,PN10 - 100 MM  NBR14.968</t>
  </si>
  <si>
    <t>Fornecimento e instalação de válvula gaveta FoFo chata  c/BJE p/ tubo de PVC, cunha de borracha ,PN10 - 50 MM  NBR14.968</t>
  </si>
  <si>
    <t>Caixa de proteção para hidrômetro em polipropileno instalada no passeio, padrão CESAN, inclusive Kit de conexões, marca de referência Doal Plastic ou similar</t>
  </si>
  <si>
    <t>Q2 = 22,00und</t>
  </si>
  <si>
    <t>Q12 = 8,00und</t>
  </si>
  <si>
    <t>C2 = 22,00und x 2,00m = 44,00m</t>
  </si>
  <si>
    <t>C12 = 8,00und x 2,00m = 16,00m</t>
  </si>
  <si>
    <t>Q = 1,00 = 1,00und</t>
  </si>
  <si>
    <r>
      <t xml:space="preserve">PROPRIETARIO : </t>
    </r>
    <r>
      <rPr>
        <sz val="12"/>
        <rFont val="Arial"/>
        <family val="2"/>
      </rPr>
      <t>Prefeitura Municipal de Águia Branca / ES</t>
    </r>
  </si>
  <si>
    <t>UNID.</t>
  </si>
  <si>
    <t>PROPRIETARIO : Prefeitura Municipal de Águia Branca / ES</t>
  </si>
  <si>
    <t>PV5 = 1,00und</t>
  </si>
  <si>
    <t>PV6 = 1,00und</t>
  </si>
  <si>
    <t>PV2 = 1,00und</t>
  </si>
  <si>
    <t>PV3 = 1,00und</t>
  </si>
  <si>
    <t>PV4 = 1,00und</t>
  </si>
  <si>
    <t>Q1 = 9,00und</t>
  </si>
  <si>
    <t>Q2 = 5,00und</t>
  </si>
  <si>
    <t>Q3 = 3,00und</t>
  </si>
  <si>
    <t>Q4 = 4,00und</t>
  </si>
  <si>
    <r>
      <t xml:space="preserve">V1 = 1,15x1,00x1,00x139 = </t>
    </r>
    <r>
      <rPr>
        <b/>
        <sz val="12"/>
        <rFont val="Arial"/>
        <family val="2"/>
      </rPr>
      <t>159,85m³</t>
    </r>
  </si>
  <si>
    <r>
      <t xml:space="preserve">V2 = (1,00x1,00) -(3,1416x0,30²) x 1,15 x 139 = </t>
    </r>
    <r>
      <rPr>
        <b/>
        <sz val="12"/>
        <rFont val="Arial"/>
        <family val="2"/>
      </rPr>
      <t>114,65m³</t>
    </r>
  </si>
  <si>
    <t>PV - 48 = 1,00und</t>
  </si>
  <si>
    <t>PV - 46 = 1,00und</t>
  </si>
  <si>
    <t>PV - 44/45 = 2,00und</t>
  </si>
  <si>
    <t>PV - 22 = 1,00und</t>
  </si>
  <si>
    <t>PV - 1/2/3/4/5/6/7 = 7,00und</t>
  </si>
  <si>
    <t>PV - 95 = 1,00und</t>
  </si>
  <si>
    <t>PV - 96/97/98 = 3,00und</t>
  </si>
  <si>
    <t>PV - 47 = 1,00und</t>
  </si>
  <si>
    <t>PV - 23/93/94 = 3,00und</t>
  </si>
  <si>
    <t>PV - 24/74 = 2,00und</t>
  </si>
  <si>
    <t>PV - Registro = 1,00und</t>
  </si>
  <si>
    <t>TUBULAÇÕES (Rede Água)</t>
  </si>
  <si>
    <t>Placa de obra nas dimensões de 2,0 x 4,0 m, padrão SEDURB-ES</t>
  </si>
  <si>
    <t>C = 25,00m</t>
  </si>
  <si>
    <t>OBRA : Pavimentação das Ruas Projetada 12, 13, 14, 15, 17 e Parte da Av. Projetada 01; Sistema de Drenagem das Ruas Projetada 18, 19, 20 e Parte da Rua Projetada 09; Sistema de Esgotamento Sanitário e Sistema de Abastecimento de Água Tratada das Ruas Projetada 12, 13,  14, 15, 16, 17, 18, 19, 20, 21 e Parte da Rua Projetada 09, Localizada no Loteamento Mirante dos Pontões na Sede do Município de Águia Branca - ES.</t>
  </si>
  <si>
    <r>
      <rPr>
        <b/>
        <sz val="12"/>
        <rFont val="Arial"/>
        <family val="2"/>
      </rPr>
      <t xml:space="preserve">A1 = </t>
    </r>
    <r>
      <rPr>
        <sz val="12"/>
        <rFont val="Arial"/>
        <family val="2"/>
      </rPr>
      <t>105,80+9,08+87,50+44,10+14,15+105,40+18,35+83,10+42,10+18,75 = 528,33m x 2,50</t>
    </r>
    <r>
      <rPr>
        <b/>
        <sz val="12"/>
        <rFont val="Arial"/>
        <family val="2"/>
      </rPr>
      <t xml:space="preserve"> =   1.320,83m²              </t>
    </r>
  </si>
  <si>
    <r>
      <rPr>
        <b/>
        <sz val="12"/>
        <rFont val="Arial"/>
        <family val="2"/>
      </rPr>
      <t xml:space="preserve">Travessão: 
C1 = </t>
    </r>
    <r>
      <rPr>
        <sz val="12"/>
        <rFont val="Arial"/>
        <family val="2"/>
      </rPr>
      <t>37,11+33,23+34,45+25,60+28,28+34,74+12,04 =</t>
    </r>
    <r>
      <rPr>
        <b/>
        <sz val="12"/>
        <rFont val="Arial"/>
        <family val="2"/>
      </rPr>
      <t xml:space="preserve"> 205,45m</t>
    </r>
  </si>
  <si>
    <t>Travessão:    
C2 = 9,60m</t>
  </si>
  <si>
    <r>
      <rPr>
        <b/>
        <sz val="12"/>
        <rFont val="Arial"/>
        <family val="2"/>
      </rPr>
      <t>Travessão:                                                C3 = 14,35</t>
    </r>
    <r>
      <rPr>
        <b/>
        <sz val="12"/>
        <rFont val="Arial"/>
        <family val="2"/>
      </rPr>
      <t xml:space="preserve">m                                         </t>
    </r>
  </si>
  <si>
    <t>Travessão: 
C4 = 19,00m</t>
  </si>
  <si>
    <r>
      <t xml:space="preserve">Travessão: 
C5 = </t>
    </r>
    <r>
      <rPr>
        <sz val="12"/>
        <rFont val="Arial"/>
        <family val="2"/>
      </rPr>
      <t xml:space="preserve">5,60+29,50 = </t>
    </r>
    <r>
      <rPr>
        <b/>
        <sz val="12"/>
        <rFont val="Arial"/>
        <family val="2"/>
      </rPr>
      <t>35,10m</t>
    </r>
  </si>
  <si>
    <r>
      <t xml:space="preserve">Travessão: 
C6 = </t>
    </r>
    <r>
      <rPr>
        <sz val="12"/>
        <rFont val="Arial"/>
        <family val="2"/>
      </rPr>
      <t xml:space="preserve">7,00+5,20 = </t>
    </r>
    <r>
      <rPr>
        <b/>
        <sz val="12"/>
        <rFont val="Arial"/>
        <family val="2"/>
      </rPr>
      <t>12,20m</t>
    </r>
  </si>
  <si>
    <t>A = 108,93 x 7,10 = 773,40m²</t>
  </si>
  <si>
    <t>A = 33,23 x 16,20 = 538,33m²</t>
  </si>
  <si>
    <t>A = 85,94 x 7,10 = 610,17m²</t>
  </si>
  <si>
    <t>A = 28,28 x 16,20 = 458,14m²</t>
  </si>
  <si>
    <t>A = 46,27 x 7,10 = 328,52m²</t>
  </si>
  <si>
    <t>A = 12,78 x 8,30 = 106,07m²</t>
  </si>
  <si>
    <t>A = 94,01 x 7,20 = 676,87m²</t>
  </si>
  <si>
    <t>A = (13,21 x 11,10) / 2 = 73,32m²</t>
  </si>
  <si>
    <t>A = 11,67m²</t>
  </si>
  <si>
    <t>A = 14,54m²</t>
  </si>
  <si>
    <t>A = 2,85m²</t>
  </si>
  <si>
    <t>TOTAL = 779,25m²</t>
  </si>
  <si>
    <t>A = 62,03 x 7,20 = 446,62m²</t>
  </si>
  <si>
    <t>A = (11,27 x 9,67) / 2 = 54,49m²</t>
  </si>
  <si>
    <t>A = 5,82m²</t>
  </si>
  <si>
    <t>A = 11,83m²</t>
  </si>
  <si>
    <t>TOTAL = 518,76m²</t>
  </si>
  <si>
    <t>A = 69,77 x 7,20 = 502,34m²</t>
  </si>
  <si>
    <t>A = (23,04 x 7,81) / 2 = 89,97m²</t>
  </si>
  <si>
    <t>A = 30,52m²</t>
  </si>
  <si>
    <t>A = 20,83m²</t>
  </si>
  <si>
    <t>TOTAL = 643,66m²</t>
  </si>
  <si>
    <t>A = 56,45 x 5,20 = 293,54m²</t>
  </si>
  <si>
    <t>A = (13,06 x 8,82) / 2 = 57,59m²</t>
  </si>
  <si>
    <t>A = 6,73m²</t>
  </si>
  <si>
    <t>A = 10,92m²</t>
  </si>
  <si>
    <t>A = 17,96m²</t>
  </si>
  <si>
    <t>TOTAL = 386,74m²</t>
  </si>
  <si>
    <t>A = 35,77 x 5,20 = 186,00m²</t>
  </si>
  <si>
    <t>A = 1,75m²</t>
  </si>
  <si>
    <t>A = 5,37m²</t>
  </si>
  <si>
    <t>TOTAL = 193,12m²</t>
  </si>
  <si>
    <r>
      <rPr>
        <b/>
        <sz val="12"/>
        <rFont val="Arial"/>
        <family val="2"/>
      </rPr>
      <t xml:space="preserve">C1 = </t>
    </r>
    <r>
      <rPr>
        <sz val="12"/>
        <rFont val="Arial"/>
        <family val="2"/>
      </rPr>
      <t xml:space="preserve">105,80+105,40+87,50+83,10+44,10+14,15+42,10+18,75+24,70 = </t>
    </r>
    <r>
      <rPr>
        <b/>
        <sz val="12"/>
        <rFont val="Arial"/>
        <family val="2"/>
      </rPr>
      <t xml:space="preserve">525,60m                </t>
    </r>
  </si>
  <si>
    <r>
      <rPr>
        <b/>
        <sz val="12"/>
        <rFont val="Arial"/>
        <family val="2"/>
      </rPr>
      <t xml:space="preserve">C2 = </t>
    </r>
    <r>
      <rPr>
        <sz val="12"/>
        <rFont val="Arial"/>
        <family val="2"/>
      </rPr>
      <t xml:space="preserve">9,08+94,65+15,70+69,97 = </t>
    </r>
    <r>
      <rPr>
        <b/>
        <sz val="12"/>
        <rFont val="Arial"/>
        <family val="2"/>
      </rPr>
      <t>189,40m</t>
    </r>
  </si>
  <si>
    <r>
      <rPr>
        <b/>
        <sz val="12"/>
        <rFont val="Arial"/>
        <family val="2"/>
      </rPr>
      <t xml:space="preserve">C5 = </t>
    </r>
    <r>
      <rPr>
        <sz val="12"/>
        <rFont val="Arial"/>
        <family val="2"/>
      </rPr>
      <t xml:space="preserve">25,80+19,25+43,15+10,95 = </t>
    </r>
    <r>
      <rPr>
        <b/>
        <sz val="12"/>
        <rFont val="Arial"/>
        <family val="2"/>
      </rPr>
      <t xml:space="preserve">99,15m                               </t>
    </r>
  </si>
  <si>
    <r>
      <rPr>
        <b/>
        <sz val="12"/>
        <rFont val="Arial"/>
        <family val="2"/>
      </rPr>
      <t xml:space="preserve">C6 = </t>
    </r>
    <r>
      <rPr>
        <sz val="12"/>
        <rFont val="Arial"/>
        <family val="2"/>
      </rPr>
      <t xml:space="preserve">31,30+30,10 = </t>
    </r>
    <r>
      <rPr>
        <b/>
        <sz val="12"/>
        <rFont val="Arial"/>
        <family val="2"/>
      </rPr>
      <t xml:space="preserve">61,40m                               </t>
    </r>
  </si>
  <si>
    <t>_______________________________
Evandro G. C. Medeiros
Engenheiro Civil
Crea MG: 71.548/D</t>
  </si>
  <si>
    <t>PROCESSO LICITATÓRIO</t>
  </si>
  <si>
    <t>11º MÊS</t>
  </si>
  <si>
    <t>12º MÊS</t>
  </si>
  <si>
    <t>TOTAL GERAL DO ORÇAMENTO</t>
  </si>
  <si>
    <t>_____________________________________
Evandro G. C. Medeiros
Engenheiro Civil
Crea MG: 71.548/D</t>
  </si>
  <si>
    <t>A = 12,78 x 8,60 = 109,91m²</t>
  </si>
  <si>
    <t>TOTAL = 4.636,63m²</t>
  </si>
  <si>
    <r>
      <t xml:space="preserve">Entre PV95 ao PV98: 35,95+33,02+46,34+29,99 = </t>
    </r>
    <r>
      <rPr>
        <b/>
        <sz val="12"/>
        <rFont val="Arial"/>
        <family val="2"/>
      </rPr>
      <t>145,30m</t>
    </r>
  </si>
  <si>
    <t>EQUIPE TOPOGRAFICA OBRA POR MÊS</t>
  </si>
  <si>
    <t>CESAN 7020100120</t>
  </si>
  <si>
    <t>un/m</t>
  </si>
  <si>
    <t>Q = 1,00 und/mês</t>
  </si>
  <si>
    <t>SINAPI 89714</t>
  </si>
  <si>
    <t>TUBO PVC, SERIE NORMAL, ESGOTO PREDIAL, DN 100 MM, FORNECIDO E INSTALADO EM RAMAL DE DESCARGA OU RAMAL DE ESGOTO SANITÁRIO. AF_12/2014</t>
  </si>
  <si>
    <t>TUBO, PVC, SOLDÁVEL, DN 20MM, INSTALADO EM RAMAL DE DISTRIBUIÇÃO DE ÁGUA - FORNECIMENTO E INSTALAÇÃO. AF_12/2014</t>
  </si>
  <si>
    <t>SINAPI 89401</t>
  </si>
  <si>
    <t>ESCAVACAO MECANICA DE VALA EM MATERIAL DE 2A. CATEGORIA ATE 2 M DE PROFUNDIDADE COM UTILIZACAO DE ESCAVADEIRA HIDRAULICA</t>
  </si>
  <si>
    <t>SINAPI 72915</t>
  </si>
  <si>
    <t>SINAPI 93358</t>
  </si>
  <si>
    <t>REATERRO MANUAL DE VALAS COM COMPACTAÇÃO MECANIZADA. AF_04/2016</t>
  </si>
  <si>
    <t>SINAPI 93382</t>
  </si>
  <si>
    <t xml:space="preserve">TOTAL </t>
  </si>
  <si>
    <t>INSTALAÇÃO DO CANTEIRO DE OBRAS</t>
  </si>
  <si>
    <t>D</t>
  </si>
  <si>
    <t>Pavimentação com blocos de concreto (35 MPa), esp.= 08 cm, colchão areia esp.= 5cm, inclusive fornecimento e transporte dos blocos e areia</t>
  </si>
  <si>
    <t>4.6</t>
  </si>
  <si>
    <t>43050/ DER</t>
  </si>
  <si>
    <t>Poço de visita (tubo D=0,40 m) H=1,50 m com tampão F.F.A.P., inclusive escavação e transporte do tampão, em Vias Urbanas</t>
  </si>
  <si>
    <t>Barracão em chapa compensada 12mm e pont. 8x8cm, piso cimentado e cobertura de telhas fibrocimento 6mm, incl. ponto de luz</t>
  </si>
  <si>
    <r>
      <t xml:space="preserve">OBRA : </t>
    </r>
    <r>
      <rPr>
        <sz val="14"/>
        <rFont val="Arial"/>
        <family val="2"/>
      </rPr>
      <t>Pavimentação das Ruas Projetada 12, 13, 14, 15, 17 e Parte da Av. Projetada 01; Sistemas de Drenagem das Ruas Projetada 18, 19, 20 e Parte da Rua Projetada 09; Sistema de Esgotamento Sanitário e Sistema de Abastecimento de Água Tratada das Ruas Projetada 12, 13,  14, 15, 16, 17, 18, 19, 20, 21 e Parte da Rua Projetada 09, Localizada no Loteamento Mirante dos Pontões na Sede do Município de Águia Branca - ES.</t>
    </r>
  </si>
  <si>
    <t>DESCRIÇÃO DOS SERVIÇOS</t>
  </si>
  <si>
    <r>
      <t xml:space="preserve">PROPRIETARIO : </t>
    </r>
    <r>
      <rPr>
        <sz val="14"/>
        <rFont val="Arial"/>
        <family val="2"/>
      </rPr>
      <t>Prefeitura Municipal de Águia Branca / ES</t>
    </r>
  </si>
  <si>
    <t>CÓDIGO/ORGÃOS  REFERÊNCIA</t>
  </si>
  <si>
    <t>MOVIMENTAÇÃO DE TERRA (Pavimentação)</t>
  </si>
  <si>
    <t xml:space="preserve">ESCAVAÇÃO MANUAL DE VALA COM PROFUNDIDADE MENOR OU IGUAL A 1,30 M. </t>
  </si>
  <si>
    <t>ESCAVAÇÃO MANUAL DE VALA COM PROFUNDIDADE MENOR OU IGUAL A 1,30 M.</t>
  </si>
  <si>
    <t>Comprimento rede = 1.644,76m</t>
  </si>
  <si>
    <r>
      <t xml:space="preserve">V1 = 1,15x0,60x1.644,76 = </t>
    </r>
    <r>
      <rPr>
        <b/>
        <sz val="12"/>
        <rFont val="Arial"/>
        <family val="2"/>
      </rPr>
      <t>1.134,88</t>
    </r>
  </si>
  <si>
    <r>
      <t xml:space="preserve">V1 = 0,10x0,60x1.644,76 = </t>
    </r>
    <r>
      <rPr>
        <b/>
        <sz val="12"/>
        <rFont val="Arial"/>
        <family val="2"/>
      </rPr>
      <t>98,69m³</t>
    </r>
  </si>
  <si>
    <r>
      <t xml:space="preserve">V1 = (1,15x0,60) - (3,1416x0,075²) x 1.644,76 = </t>
    </r>
    <r>
      <rPr>
        <b/>
        <sz val="12"/>
        <rFont val="Arial"/>
        <family val="2"/>
      </rPr>
      <t>1.105,82m³</t>
    </r>
  </si>
  <si>
    <t>FÍSICO / FINANCEIRO</t>
  </si>
  <si>
    <t>SINAPI 94338</t>
  </si>
  <si>
    <t>ATERRO MECANIZADO DE VALA COM RETROESCAVADEIRA (CAPACIDADE DA CAÇAMBA DA RETRO: 0,26 M³ / POTÊNCIA: 88 HP), LARGURA ATÉ 0,8 M, PROFUNDIDADE ATÉ 1,5 M, COM AREIA PARA ATERRO. AF_05/2016</t>
  </si>
  <si>
    <r>
      <t xml:space="preserve">REFERÊNCIAS : 
1 - DER-ES - Departamento de Estradas de Rodagem do Estado do Espírito Santo - Tabela Referencial Outubro 2018, </t>
    </r>
    <r>
      <rPr>
        <b/>
        <sz val="12"/>
        <color indexed="10"/>
        <rFont val="Arial"/>
        <family val="2"/>
      </rPr>
      <t>Sem Desoneração;</t>
    </r>
    <r>
      <rPr>
        <b/>
        <sz val="12"/>
        <rFont val="Arial"/>
        <family val="2"/>
      </rPr>
      <t xml:space="preserve">
2 - SINAPI - Sistema Nacional de Pesquisa de Custos e Índice da Construção Civil - Novembro de 2019, </t>
    </r>
    <r>
      <rPr>
        <b/>
        <sz val="12"/>
        <color indexed="10"/>
        <rFont val="Arial"/>
        <family val="2"/>
      </rPr>
      <t>Sem Desoneração;</t>
    </r>
    <r>
      <rPr>
        <b/>
        <sz val="12"/>
        <rFont val="Arial"/>
        <family val="2"/>
      </rPr>
      <t xml:space="preserve">
3 - Tabela de custos CESAN/ES Junho/2018, </t>
    </r>
    <r>
      <rPr>
        <b/>
        <sz val="12"/>
        <color indexed="10"/>
        <rFont val="Arial"/>
        <family val="2"/>
      </rPr>
      <t>Sem Desoneração;</t>
    </r>
    <r>
      <rPr>
        <b/>
        <sz val="12"/>
        <rFont val="Arial"/>
        <family val="2"/>
      </rPr>
      <t xml:space="preserve">
4 - BDI Adotado = 23,32%</t>
    </r>
  </si>
  <si>
    <t>UNIT. C/ BDI 23,32%</t>
  </si>
  <si>
    <t>DATA BASE: NOVEMBRO/2019;    CESAN / DER / COMPOSIÇÕES - Através do INCC</t>
  </si>
  <si>
    <t>Águia Branca – ES, 27 de Dezembro  de 2019</t>
  </si>
  <si>
    <t>Águia Branca – ES, 27 de Dezembro de 2019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</si>
</sst>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[$€-2]\ #,##0.00_);[Red]\([$€-2]\ #,##0.00\)"/>
    <numFmt numFmtId="185" formatCode="00000"/>
    <numFmt numFmtId="186" formatCode="#,##0.000"/>
    <numFmt numFmtId="187" formatCode="&quot;Ativado&quot;;&quot;Ativado&quot;;&quot;Desativado&quot;"/>
    <numFmt numFmtId="188" formatCode="&quot;R$&quot;\ #,##0.00"/>
    <numFmt numFmtId="189" formatCode="_-[$R$-416]\ * #,##0.00_-;\-[$R$-416]\ * #,##0.00_-;_-[$R$-416]\ * &quot;-&quot;??_-;_-@_-"/>
  </numFmts>
  <fonts count="50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0" fillId="31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1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232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52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/>
    </xf>
    <xf numFmtId="4" fontId="5" fillId="0" borderId="0" xfId="0" applyNumberFormat="1" applyFont="1" applyAlignment="1">
      <alignment/>
    </xf>
    <xf numFmtId="4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 vertical="justify"/>
    </xf>
    <xf numFmtId="4" fontId="5" fillId="0" borderId="0" xfId="0" applyNumberFormat="1" applyFont="1" applyAlignment="1">
      <alignment horizontal="justify" vertical="justify"/>
    </xf>
    <xf numFmtId="4" fontId="5" fillId="0" borderId="0" xfId="0" applyNumberFormat="1" applyFont="1" applyAlignment="1">
      <alignment horizontal="justify" vertical="center"/>
    </xf>
    <xf numFmtId="4" fontId="5" fillId="33" borderId="10" xfId="57" applyNumberFormat="1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justify"/>
    </xf>
    <xf numFmtId="4" fontId="5" fillId="0" borderId="0" xfId="0" applyNumberFormat="1" applyFont="1" applyAlignment="1">
      <alignment horizontal="right"/>
    </xf>
    <xf numFmtId="0" fontId="5" fillId="33" borderId="10" xfId="52" applyFont="1" applyFill="1" applyBorder="1" applyAlignment="1">
      <alignment horizontal="center" vertical="center" wrapText="1"/>
      <protection/>
    </xf>
    <xf numFmtId="49" fontId="5" fillId="0" borderId="0" xfId="0" applyNumberFormat="1" applyFont="1" applyAlignment="1">
      <alignment vertical="justify" wrapText="1"/>
    </xf>
    <xf numFmtId="4" fontId="5" fillId="0" borderId="0" xfId="0" applyNumberFormat="1" applyFont="1" applyBorder="1" applyAlignment="1">
      <alignment wrapText="1"/>
    </xf>
    <xf numFmtId="0" fontId="4" fillId="34" borderId="10" xfId="0" applyFont="1" applyFill="1" applyBorder="1" applyAlignment="1">
      <alignment horizontal="center" vertical="center"/>
    </xf>
    <xf numFmtId="0" fontId="4" fillId="35" borderId="10" xfId="52" applyFont="1" applyFill="1" applyBorder="1" applyAlignment="1">
      <alignment horizontal="center" vertical="center"/>
      <protection/>
    </xf>
    <xf numFmtId="4" fontId="5" fillId="35" borderId="10" xfId="0" applyNumberFormat="1" applyFont="1" applyFill="1" applyBorder="1" applyAlignment="1">
      <alignment horizontal="center" vertical="center"/>
    </xf>
    <xf numFmtId="0" fontId="5" fillId="35" borderId="10" xfId="52" applyFont="1" applyFill="1" applyBorder="1" applyAlignment="1">
      <alignment horizontal="left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justify"/>
    </xf>
    <xf numFmtId="4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justify" wrapText="1"/>
    </xf>
    <xf numFmtId="0" fontId="4" fillId="36" borderId="10" xfId="52" applyFont="1" applyFill="1" applyBorder="1" applyAlignment="1">
      <alignment horizontal="center" vertical="center"/>
      <protection/>
    </xf>
    <xf numFmtId="4" fontId="5" fillId="35" borderId="10" xfId="57" applyNumberFormat="1" applyFont="1" applyFill="1" applyBorder="1" applyAlignment="1">
      <alignment horizontal="left" vertical="center"/>
    </xf>
    <xf numFmtId="4" fontId="5" fillId="35" borderId="10" xfId="52" applyNumberFormat="1" applyFont="1" applyFill="1" applyBorder="1" applyAlignment="1">
      <alignment horizontal="left" vertical="center" wrapText="1"/>
      <protection/>
    </xf>
    <xf numFmtId="10" fontId="4" fillId="33" borderId="10" xfId="57" applyNumberFormat="1" applyFont="1" applyFill="1" applyBorder="1" applyAlignment="1">
      <alignment horizontal="center"/>
    </xf>
    <xf numFmtId="10" fontId="5" fillId="37" borderId="10" xfId="57" applyNumberFormat="1" applyFont="1" applyFill="1" applyBorder="1" applyAlignment="1">
      <alignment horizontal="center"/>
    </xf>
    <xf numFmtId="4" fontId="5" fillId="0" borderId="10" xfId="57" applyNumberFormat="1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justify" vertical="center"/>
    </xf>
    <xf numFmtId="49" fontId="5" fillId="0" borderId="0" xfId="0" applyNumberFormat="1" applyFont="1" applyBorder="1" applyAlignment="1">
      <alignment vertical="justify" wrapText="1"/>
    </xf>
    <xf numFmtId="4" fontId="5" fillId="0" borderId="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0" fontId="5" fillId="33" borderId="11" xfId="52" applyFont="1" applyFill="1" applyBorder="1" applyAlignment="1">
      <alignment horizontal="justify" vertical="justify" wrapText="1"/>
      <protection/>
    </xf>
    <xf numFmtId="0" fontId="5" fillId="33" borderId="11" xfId="52" applyFont="1" applyFill="1" applyBorder="1" applyAlignment="1">
      <alignment horizontal="center" vertical="center"/>
      <protection/>
    </xf>
    <xf numFmtId="4" fontId="5" fillId="33" borderId="11" xfId="57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0" fontId="49" fillId="35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wrapText="1"/>
    </xf>
    <xf numFmtId="4" fontId="5" fillId="35" borderId="10" xfId="57" applyNumberFormat="1" applyFont="1" applyFill="1" applyBorder="1" applyAlignment="1">
      <alignment horizontal="left" vertical="center" wrapText="1"/>
    </xf>
    <xf numFmtId="4" fontId="5" fillId="35" borderId="12" xfId="57" applyNumberFormat="1" applyFont="1" applyFill="1" applyBorder="1" applyAlignment="1">
      <alignment vertical="center" wrapText="1"/>
    </xf>
    <xf numFmtId="4" fontId="5" fillId="35" borderId="12" xfId="57" applyNumberFormat="1" applyFont="1" applyFill="1" applyBorder="1" applyAlignment="1">
      <alignment horizontal="center" vertical="center" wrapText="1"/>
    </xf>
    <xf numFmtId="4" fontId="5" fillId="35" borderId="13" xfId="57" applyNumberFormat="1" applyFont="1" applyFill="1" applyBorder="1" applyAlignment="1">
      <alignment horizontal="left" vertical="center"/>
    </xf>
    <xf numFmtId="4" fontId="5" fillId="35" borderId="12" xfId="0" applyNumberFormat="1" applyFont="1" applyFill="1" applyBorder="1" applyAlignment="1">
      <alignment vertical="center" wrapText="1"/>
    </xf>
    <xf numFmtId="4" fontId="5" fillId="35" borderId="14" xfId="57" applyNumberFormat="1" applyFont="1" applyFill="1" applyBorder="1" applyAlignment="1">
      <alignment horizontal="left" vertical="center"/>
    </xf>
    <xf numFmtId="4" fontId="5" fillId="35" borderId="12" xfId="0" applyNumberFormat="1" applyFont="1" applyFill="1" applyBorder="1" applyAlignment="1">
      <alignment horizontal="center" vertical="center" wrapText="1"/>
    </xf>
    <xf numFmtId="4" fontId="5" fillId="35" borderId="12" xfId="57" applyNumberFormat="1" applyFont="1" applyFill="1" applyBorder="1" applyAlignment="1">
      <alignment horizontal="center" wrapText="1"/>
    </xf>
    <xf numFmtId="4" fontId="5" fillId="35" borderId="13" xfId="57" applyNumberFormat="1" applyFont="1" applyFill="1" applyBorder="1" applyAlignment="1">
      <alignment horizontal="left" vertical="center" wrapText="1"/>
    </xf>
    <xf numFmtId="4" fontId="5" fillId="35" borderId="14" xfId="57" applyNumberFormat="1" applyFont="1" applyFill="1" applyBorder="1" applyAlignment="1">
      <alignment horizontal="left" vertical="center" wrapText="1"/>
    </xf>
    <xf numFmtId="0" fontId="5" fillId="35" borderId="10" xfId="52" applyFont="1" applyFill="1" applyBorder="1" applyAlignment="1">
      <alignment horizontal="center" vertical="center" wrapText="1"/>
      <protection/>
    </xf>
    <xf numFmtId="0" fontId="5" fillId="35" borderId="10" xfId="52" applyFont="1" applyFill="1" applyBorder="1" applyAlignment="1">
      <alignment horizontal="center" vertical="center"/>
      <protection/>
    </xf>
    <xf numFmtId="0" fontId="5" fillId="35" borderId="15" xfId="52" applyFont="1" applyFill="1" applyBorder="1" applyAlignment="1">
      <alignment horizontal="left" vertical="center" wrapText="1"/>
      <protection/>
    </xf>
    <xf numFmtId="0" fontId="5" fillId="35" borderId="10" xfId="52" applyFont="1" applyFill="1" applyBorder="1" applyAlignment="1">
      <alignment horizontal="justify" vertical="justify" wrapText="1"/>
      <protection/>
    </xf>
    <xf numFmtId="49" fontId="5" fillId="35" borderId="10" xfId="57" applyNumberFormat="1" applyFont="1" applyFill="1" applyBorder="1" applyAlignment="1">
      <alignment horizontal="left" vertical="center" wrapText="1"/>
    </xf>
    <xf numFmtId="2" fontId="5" fillId="35" borderId="10" xfId="52" applyNumberFormat="1" applyFont="1" applyFill="1" applyBorder="1" applyAlignment="1">
      <alignment horizontal="justify" vertical="justify" wrapText="1"/>
      <protection/>
    </xf>
    <xf numFmtId="2" fontId="5" fillId="35" borderId="10" xfId="52" applyNumberFormat="1" applyFont="1" applyFill="1" applyBorder="1" applyAlignment="1">
      <alignment horizontal="center" vertical="center"/>
      <protection/>
    </xf>
    <xf numFmtId="4" fontId="5" fillId="35" borderId="12" xfId="57" applyNumberFormat="1" applyFont="1" applyFill="1" applyBorder="1" applyAlignment="1">
      <alignment vertical="center"/>
    </xf>
    <xf numFmtId="4" fontId="5" fillId="35" borderId="16" xfId="57" applyNumberFormat="1" applyFont="1" applyFill="1" applyBorder="1" applyAlignment="1">
      <alignment horizontal="left" vertical="center"/>
    </xf>
    <xf numFmtId="4" fontId="5" fillId="35" borderId="12" xfId="57" applyNumberFormat="1" applyFont="1" applyFill="1" applyBorder="1" applyAlignment="1">
      <alignment horizontal="center" vertical="center"/>
    </xf>
    <xf numFmtId="4" fontId="5" fillId="35" borderId="17" xfId="57" applyNumberFormat="1" applyFont="1" applyFill="1" applyBorder="1" applyAlignment="1">
      <alignment vertical="center"/>
    </xf>
    <xf numFmtId="4" fontId="5" fillId="35" borderId="15" xfId="57" applyNumberFormat="1" applyFont="1" applyFill="1" applyBorder="1" applyAlignment="1">
      <alignment/>
    </xf>
    <xf numFmtId="4" fontId="5" fillId="35" borderId="12" xfId="57" applyNumberFormat="1" applyFont="1" applyFill="1" applyBorder="1" applyAlignment="1">
      <alignment/>
    </xf>
    <xf numFmtId="4" fontId="5" fillId="35" borderId="12" xfId="57" applyNumberFormat="1" applyFont="1" applyFill="1" applyBorder="1" applyAlignment="1">
      <alignment horizontal="center"/>
    </xf>
    <xf numFmtId="4" fontId="5" fillId="35" borderId="17" xfId="57" applyNumberFormat="1" applyFont="1" applyFill="1" applyBorder="1" applyAlignment="1">
      <alignment/>
    </xf>
    <xf numFmtId="4" fontId="4" fillId="35" borderId="10" xfId="52" applyNumberFormat="1" applyFont="1" applyFill="1" applyBorder="1" applyAlignment="1">
      <alignment horizontal="left" vertical="center" wrapText="1"/>
      <protection/>
    </xf>
    <xf numFmtId="4" fontId="5" fillId="35" borderId="10" xfId="52" applyNumberFormat="1" applyFont="1" applyFill="1" applyBorder="1" applyAlignment="1">
      <alignment horizontal="center" vertical="center" wrapText="1"/>
      <protection/>
    </xf>
    <xf numFmtId="0" fontId="49" fillId="35" borderId="10" xfId="0" applyFont="1" applyFill="1" applyBorder="1" applyAlignment="1">
      <alignment horizontal="center" vertical="center"/>
    </xf>
    <xf numFmtId="49" fontId="5" fillId="35" borderId="10" xfId="52" applyNumberFormat="1" applyFont="1" applyFill="1" applyBorder="1" applyAlignment="1">
      <alignment horizontal="justify" vertical="center" wrapText="1"/>
      <protection/>
    </xf>
    <xf numFmtId="4" fontId="49" fillId="35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5" borderId="10" xfId="57" applyNumberFormat="1" applyFont="1" applyFill="1" applyBorder="1" applyAlignment="1">
      <alignment horizontal="left" vertical="center" wrapText="1"/>
    </xf>
    <xf numFmtId="4" fontId="4" fillId="35" borderId="14" xfId="57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35" borderId="10" xfId="52" applyFont="1" applyFill="1" applyBorder="1" applyAlignment="1">
      <alignment horizontal="center" vertical="center" wrapText="1"/>
      <protection/>
    </xf>
    <xf numFmtId="0" fontId="5" fillId="35" borderId="10" xfId="52" applyFont="1" applyFill="1" applyBorder="1" applyAlignment="1">
      <alignment horizontal="center" vertical="center"/>
      <protection/>
    </xf>
    <xf numFmtId="4" fontId="5" fillId="35" borderId="10" xfId="57" applyNumberFormat="1" applyFont="1" applyFill="1" applyBorder="1" applyAlignment="1">
      <alignment horizontal="center" vertical="center"/>
    </xf>
    <xf numFmtId="0" fontId="5" fillId="35" borderId="10" xfId="52" applyFont="1" applyFill="1" applyBorder="1" applyAlignment="1">
      <alignment horizontal="center" vertical="center"/>
      <protection/>
    </xf>
    <xf numFmtId="0" fontId="5" fillId="35" borderId="10" xfId="52" applyFont="1" applyFill="1" applyBorder="1" applyAlignment="1">
      <alignment horizontal="center" vertical="center" wrapText="1"/>
      <protection/>
    </xf>
    <xf numFmtId="0" fontId="5" fillId="35" borderId="17" xfId="52" applyFont="1" applyFill="1" applyBorder="1" applyAlignment="1">
      <alignment horizontal="center" vertical="center" wrapText="1"/>
      <protection/>
    </xf>
    <xf numFmtId="4" fontId="5" fillId="35" borderId="10" xfId="57" applyNumberFormat="1" applyFont="1" applyFill="1" applyBorder="1" applyAlignment="1">
      <alignment horizontal="center" vertical="center"/>
    </xf>
    <xf numFmtId="0" fontId="5" fillId="35" borderId="15" xfId="52" applyFont="1" applyFill="1" applyBorder="1" applyAlignment="1">
      <alignment horizontal="left" vertical="center" wrapText="1"/>
      <protection/>
    </xf>
    <xf numFmtId="0" fontId="5" fillId="35" borderId="12" xfId="52" applyFont="1" applyFill="1" applyBorder="1" applyAlignment="1">
      <alignment horizontal="left" vertical="center" wrapText="1"/>
      <protection/>
    </xf>
    <xf numFmtId="0" fontId="5" fillId="35" borderId="17" xfId="52" applyFont="1" applyFill="1" applyBorder="1" applyAlignment="1">
      <alignment horizontal="left" vertical="center" wrapText="1"/>
      <protection/>
    </xf>
    <xf numFmtId="4" fontId="5" fillId="35" borderId="17" xfId="57" applyNumberFormat="1" applyFont="1" applyFill="1" applyBorder="1" applyAlignment="1">
      <alignment horizontal="center" vertical="center"/>
    </xf>
    <xf numFmtId="4" fontId="5" fillId="35" borderId="12" xfId="57" applyNumberFormat="1" applyFont="1" applyFill="1" applyBorder="1" applyAlignment="1">
      <alignment horizontal="center" vertical="center"/>
    </xf>
    <xf numFmtId="0" fontId="4" fillId="35" borderId="18" xfId="52" applyFont="1" applyFill="1" applyBorder="1" applyAlignment="1">
      <alignment vertical="center" wrapText="1"/>
      <protection/>
    </xf>
    <xf numFmtId="0" fontId="4" fillId="35" borderId="19" xfId="52" applyFont="1" applyFill="1" applyBorder="1" applyAlignment="1">
      <alignment vertical="center" wrapText="1"/>
      <protection/>
    </xf>
    <xf numFmtId="0" fontId="4" fillId="35" borderId="20" xfId="52" applyFont="1" applyFill="1" applyBorder="1" applyAlignment="1">
      <alignment vertical="center" wrapText="1"/>
      <protection/>
    </xf>
    <xf numFmtId="4" fontId="4" fillId="35" borderId="10" xfId="52" applyNumberFormat="1" applyFont="1" applyFill="1" applyBorder="1" applyAlignment="1">
      <alignment horizontal="center" vertical="center" wrapText="1"/>
      <protection/>
    </xf>
    <xf numFmtId="0" fontId="4" fillId="34" borderId="18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5" borderId="18" xfId="52" applyFont="1" applyFill="1" applyBorder="1" applyAlignment="1">
      <alignment horizontal="left" vertical="center" wrapText="1"/>
      <protection/>
    </xf>
    <xf numFmtId="4" fontId="4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vertical="center"/>
    </xf>
    <xf numFmtId="49" fontId="5" fillId="35" borderId="10" xfId="52" applyNumberFormat="1" applyFont="1" applyFill="1" applyBorder="1" applyAlignment="1">
      <alignment horizontal="justify" vertical="justify" wrapText="1"/>
      <protection/>
    </xf>
    <xf numFmtId="49" fontId="5" fillId="35" borderId="10" xfId="52" applyNumberFormat="1" applyFont="1" applyFill="1" applyBorder="1" applyAlignment="1">
      <alignment horizontal="left" vertical="center" wrapText="1"/>
      <protection/>
    </xf>
    <xf numFmtId="49" fontId="5" fillId="35" borderId="10" xfId="52" applyNumberFormat="1" applyFont="1" applyFill="1" applyBorder="1" applyAlignment="1">
      <alignment vertical="center" wrapText="1"/>
      <protection/>
    </xf>
    <xf numFmtId="4" fontId="1" fillId="35" borderId="10" xfId="52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49" fillId="35" borderId="10" xfId="51" applyFont="1" applyFill="1" applyBorder="1" applyAlignment="1">
      <alignment horizontal="left" vertical="center" wrapText="1"/>
      <protection/>
    </xf>
    <xf numFmtId="49" fontId="5" fillId="35" borderId="10" xfId="52" applyNumberFormat="1" applyFont="1" applyFill="1" applyBorder="1" applyAlignment="1">
      <alignment horizontal="left" vertical="top" wrapText="1"/>
      <protection/>
    </xf>
    <xf numFmtId="4" fontId="5" fillId="35" borderId="17" xfId="57" applyNumberFormat="1" applyFont="1" applyFill="1" applyBorder="1" applyAlignment="1">
      <alignment horizontal="left" vertical="center" wrapText="1"/>
    </xf>
    <xf numFmtId="4" fontId="5" fillId="35" borderId="21" xfId="57" applyNumberFormat="1" applyFont="1" applyFill="1" applyBorder="1" applyAlignment="1">
      <alignment horizontal="left" vertical="center"/>
    </xf>
    <xf numFmtId="4" fontId="5" fillId="35" borderId="21" xfId="57" applyNumberFormat="1" applyFont="1" applyFill="1" applyBorder="1" applyAlignment="1">
      <alignment horizontal="left" vertical="center" wrapText="1"/>
    </xf>
    <xf numFmtId="0" fontId="5" fillId="35" borderId="15" xfId="52" applyFont="1" applyFill="1" applyBorder="1" applyAlignment="1">
      <alignment vertical="center" wrapText="1"/>
      <protection/>
    </xf>
    <xf numFmtId="0" fontId="5" fillId="35" borderId="17" xfId="52" applyFont="1" applyFill="1" applyBorder="1" applyAlignment="1">
      <alignment vertical="center" wrapText="1"/>
      <protection/>
    </xf>
    <xf numFmtId="4" fontId="5" fillId="35" borderId="17" xfId="57" applyNumberFormat="1" applyFont="1" applyFill="1" applyBorder="1" applyAlignment="1">
      <alignment horizontal="left" vertical="center"/>
    </xf>
    <xf numFmtId="4" fontId="4" fillId="35" borderId="17" xfId="52" applyNumberFormat="1" applyFont="1" applyFill="1" applyBorder="1" applyAlignment="1">
      <alignment horizontal="left" vertical="center" wrapText="1"/>
      <protection/>
    </xf>
    <xf numFmtId="4" fontId="5" fillId="35" borderId="17" xfId="52" applyNumberFormat="1" applyFont="1" applyFill="1" applyBorder="1" applyAlignment="1">
      <alignment horizontal="left" vertical="center" wrapText="1"/>
      <protection/>
    </xf>
    <xf numFmtId="4" fontId="5" fillId="35" borderId="17" xfId="57" applyNumberFormat="1" applyFont="1" applyFill="1" applyBorder="1" applyAlignment="1">
      <alignment horizontal="center" vertical="top"/>
    </xf>
    <xf numFmtId="4" fontId="4" fillId="35" borderId="10" xfId="0" applyNumberFormat="1" applyFont="1" applyFill="1" applyBorder="1" applyAlignment="1">
      <alignment horizontal="center" vertical="center" wrapText="1"/>
    </xf>
    <xf numFmtId="4" fontId="4" fillId="35" borderId="10" xfId="57" applyNumberFormat="1" applyFont="1" applyFill="1" applyBorder="1" applyAlignment="1">
      <alignment horizontal="center" vertical="center"/>
    </xf>
    <xf numFmtId="4" fontId="4" fillId="35" borderId="12" xfId="57" applyNumberFormat="1" applyFont="1" applyFill="1" applyBorder="1" applyAlignment="1">
      <alignment horizontal="center" vertical="top" wrapText="1"/>
    </xf>
    <xf numFmtId="4" fontId="4" fillId="35" borderId="12" xfId="0" applyNumberFormat="1" applyFont="1" applyFill="1" applyBorder="1" applyAlignment="1">
      <alignment horizontal="center" vertical="center" wrapText="1"/>
    </xf>
    <xf numFmtId="4" fontId="4" fillId="35" borderId="12" xfId="57" applyNumberFormat="1" applyFont="1" applyFill="1" applyBorder="1" applyAlignment="1">
      <alignment horizontal="center" wrapText="1"/>
    </xf>
    <xf numFmtId="4" fontId="4" fillId="35" borderId="12" xfId="57" applyNumberFormat="1" applyFont="1" applyFill="1" applyBorder="1" applyAlignment="1">
      <alignment horizontal="center" vertical="center"/>
    </xf>
    <xf numFmtId="4" fontId="4" fillId="35" borderId="12" xfId="57" applyNumberFormat="1" applyFont="1" applyFill="1" applyBorder="1" applyAlignment="1">
      <alignment horizontal="center"/>
    </xf>
    <xf numFmtId="4" fontId="4" fillId="35" borderId="17" xfId="57" applyNumberFormat="1" applyFont="1" applyFill="1" applyBorder="1" applyAlignment="1">
      <alignment horizontal="center" vertical="top"/>
    </xf>
    <xf numFmtId="4" fontId="4" fillId="35" borderId="12" xfId="57" applyNumberFormat="1" applyFont="1" applyFill="1" applyBorder="1" applyAlignment="1">
      <alignment horizontal="center" vertical="top"/>
    </xf>
    <xf numFmtId="4" fontId="4" fillId="35" borderId="15" xfId="57" applyNumberFormat="1" applyFont="1" applyFill="1" applyBorder="1" applyAlignment="1">
      <alignment horizontal="center"/>
    </xf>
    <xf numFmtId="4" fontId="4" fillId="35" borderId="12" xfId="57" applyNumberFormat="1" applyFont="1" applyFill="1" applyBorder="1" applyAlignment="1">
      <alignment/>
    </xf>
    <xf numFmtId="0" fontId="5" fillId="35" borderId="10" xfId="52" applyFont="1" applyFill="1" applyBorder="1" applyAlignment="1">
      <alignment horizontal="center" vertical="center"/>
      <protection/>
    </xf>
    <xf numFmtId="0" fontId="5" fillId="35" borderId="10" xfId="52" applyFont="1" applyFill="1" applyBorder="1" applyAlignment="1">
      <alignment horizontal="center" vertical="center" wrapText="1"/>
      <protection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18" xfId="52" applyFont="1" applyFill="1" applyBorder="1" applyAlignment="1">
      <alignment horizontal="left" vertical="center" wrapText="1"/>
      <protection/>
    </xf>
    <xf numFmtId="0" fontId="4" fillId="35" borderId="19" xfId="52" applyFont="1" applyFill="1" applyBorder="1" applyAlignment="1">
      <alignment horizontal="left" vertical="center" wrapText="1"/>
      <protection/>
    </xf>
    <xf numFmtId="0" fontId="4" fillId="34" borderId="18" xfId="52" applyFont="1" applyFill="1" applyBorder="1" applyAlignment="1">
      <alignment horizontal="center" vertical="center" wrapText="1"/>
      <protection/>
    </xf>
    <xf numFmtId="0" fontId="4" fillId="34" borderId="19" xfId="52" applyFont="1" applyFill="1" applyBorder="1" applyAlignment="1">
      <alignment horizontal="center" vertical="center" wrapText="1"/>
      <protection/>
    </xf>
    <xf numFmtId="0" fontId="4" fillId="34" borderId="20" xfId="52" applyFont="1" applyFill="1" applyBorder="1" applyAlignment="1">
      <alignment horizontal="center" vertical="center" wrapText="1"/>
      <protection/>
    </xf>
    <xf numFmtId="0" fontId="1" fillId="35" borderId="18" xfId="52" applyFont="1" applyFill="1" applyBorder="1" applyAlignment="1">
      <alignment horizontal="center" vertical="center" wrapText="1"/>
      <protection/>
    </xf>
    <xf numFmtId="0" fontId="1" fillId="35" borderId="19" xfId="52" applyFont="1" applyFill="1" applyBorder="1" applyAlignment="1">
      <alignment horizontal="center" vertical="center" wrapText="1"/>
      <protection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4" fillId="34" borderId="10" xfId="52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" fontId="5" fillId="35" borderId="10" xfId="52" applyNumberFormat="1" applyFont="1" applyFill="1" applyBorder="1" applyAlignment="1">
      <alignment horizontal="left" vertical="center" wrapText="1"/>
      <protection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5" fillId="33" borderId="10" xfId="52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justify" wrapText="1"/>
    </xf>
    <xf numFmtId="0" fontId="4" fillId="35" borderId="20" xfId="52" applyFont="1" applyFill="1" applyBorder="1" applyAlignment="1">
      <alignment horizontal="left" vertical="center" wrapText="1"/>
      <protection/>
    </xf>
    <xf numFmtId="0" fontId="5" fillId="35" borderId="10" xfId="52" applyFont="1" applyFill="1" applyBorder="1" applyAlignment="1">
      <alignment horizontal="center" vertical="center"/>
      <protection/>
    </xf>
    <xf numFmtId="0" fontId="5" fillId="35" borderId="10" xfId="52" applyFont="1" applyFill="1" applyBorder="1" applyAlignment="1">
      <alignment horizontal="center" vertical="center" wrapText="1"/>
      <protection/>
    </xf>
    <xf numFmtId="4" fontId="5" fillId="35" borderId="15" xfId="57" applyNumberFormat="1" applyFont="1" applyFill="1" applyBorder="1" applyAlignment="1">
      <alignment horizontal="center" vertical="center"/>
    </xf>
    <xf numFmtId="4" fontId="5" fillId="35" borderId="12" xfId="57" applyNumberFormat="1" applyFont="1" applyFill="1" applyBorder="1" applyAlignment="1">
      <alignment horizontal="center" vertical="center"/>
    </xf>
    <xf numFmtId="4" fontId="5" fillId="35" borderId="17" xfId="57" applyNumberFormat="1" applyFont="1" applyFill="1" applyBorder="1" applyAlignment="1">
      <alignment horizontal="center" vertical="center"/>
    </xf>
    <xf numFmtId="0" fontId="5" fillId="35" borderId="15" xfId="52" applyFont="1" applyFill="1" applyBorder="1" applyAlignment="1">
      <alignment horizontal="center" vertical="center"/>
      <protection/>
    </xf>
    <xf numFmtId="0" fontId="5" fillId="35" borderId="12" xfId="52" applyFont="1" applyFill="1" applyBorder="1" applyAlignment="1">
      <alignment horizontal="center" vertical="center"/>
      <protection/>
    </xf>
    <xf numFmtId="0" fontId="5" fillId="35" borderId="17" xfId="52" applyFont="1" applyFill="1" applyBorder="1" applyAlignment="1">
      <alignment horizontal="center" vertical="center"/>
      <protection/>
    </xf>
    <xf numFmtId="0" fontId="5" fillId="35" borderId="15" xfId="52" applyFont="1" applyFill="1" applyBorder="1" applyAlignment="1">
      <alignment horizontal="center" vertical="center" wrapText="1"/>
      <protection/>
    </xf>
    <xf numFmtId="0" fontId="5" fillId="35" borderId="17" xfId="52" applyFont="1" applyFill="1" applyBorder="1" applyAlignment="1">
      <alignment horizontal="center" vertical="center" wrapText="1"/>
      <protection/>
    </xf>
    <xf numFmtId="0" fontId="5" fillId="35" borderId="18" xfId="52" applyFont="1" applyFill="1" applyBorder="1" applyAlignment="1">
      <alignment horizontal="left" vertical="center" wrapText="1"/>
      <protection/>
    </xf>
    <xf numFmtId="0" fontId="5" fillId="35" borderId="19" xfId="52" applyFont="1" applyFill="1" applyBorder="1" applyAlignment="1">
      <alignment horizontal="left" vertical="center" wrapText="1"/>
      <protection/>
    </xf>
    <xf numFmtId="0" fontId="5" fillId="35" borderId="20" xfId="52" applyFont="1" applyFill="1" applyBorder="1" applyAlignment="1">
      <alignment horizontal="left" vertical="center" wrapText="1"/>
      <protection/>
    </xf>
    <xf numFmtId="0" fontId="5" fillId="35" borderId="12" xfId="52" applyFont="1" applyFill="1" applyBorder="1" applyAlignment="1">
      <alignment horizontal="center" vertical="center" wrapText="1"/>
      <protection/>
    </xf>
    <xf numFmtId="4" fontId="5" fillId="35" borderId="10" xfId="57" applyNumberFormat="1" applyFont="1" applyFill="1" applyBorder="1" applyAlignment="1">
      <alignment horizontal="center" vertical="center"/>
    </xf>
    <xf numFmtId="4" fontId="5" fillId="35" borderId="10" xfId="57" applyNumberFormat="1" applyFont="1" applyFill="1" applyBorder="1" applyAlignment="1">
      <alignment horizontal="center" vertical="center" wrapText="1"/>
    </xf>
    <xf numFmtId="4" fontId="5" fillId="35" borderId="15" xfId="57" applyNumberFormat="1" applyFont="1" applyFill="1" applyBorder="1" applyAlignment="1">
      <alignment horizontal="center" vertical="center" wrapText="1"/>
    </xf>
    <xf numFmtId="4" fontId="5" fillId="35" borderId="12" xfId="57" applyNumberFormat="1" applyFont="1" applyFill="1" applyBorder="1" applyAlignment="1">
      <alignment horizontal="center" vertical="center" wrapText="1"/>
    </xf>
    <xf numFmtId="4" fontId="5" fillId="35" borderId="17" xfId="57" applyNumberFormat="1" applyFont="1" applyFill="1" applyBorder="1" applyAlignment="1">
      <alignment horizontal="center" vertical="center" wrapText="1"/>
    </xf>
    <xf numFmtId="0" fontId="4" fillId="36" borderId="10" xfId="52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/>
    </xf>
    <xf numFmtId="0" fontId="4" fillId="35" borderId="10" xfId="52" applyFont="1" applyFill="1" applyBorder="1" applyAlignment="1">
      <alignment horizontal="center" vertical="center" wrapText="1"/>
      <protection/>
    </xf>
    <xf numFmtId="0" fontId="5" fillId="35" borderId="15" xfId="52" applyFont="1" applyFill="1" applyBorder="1" applyAlignment="1">
      <alignment horizontal="left" vertical="center" wrapText="1"/>
      <protection/>
    </xf>
    <xf numFmtId="0" fontId="5" fillId="35" borderId="12" xfId="52" applyFont="1" applyFill="1" applyBorder="1" applyAlignment="1">
      <alignment horizontal="left" vertical="center" wrapText="1"/>
      <protection/>
    </xf>
    <xf numFmtId="0" fontId="5" fillId="35" borderId="17" xfId="52" applyFont="1" applyFill="1" applyBorder="1" applyAlignment="1">
      <alignment horizontal="left" vertical="center" wrapText="1"/>
      <protection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wrapText="1"/>
    </xf>
    <xf numFmtId="0" fontId="5" fillId="35" borderId="18" xfId="52" applyFont="1" applyFill="1" applyBorder="1" applyAlignment="1">
      <alignment horizontal="center" vertical="center" wrapText="1"/>
      <protection/>
    </xf>
    <xf numFmtId="0" fontId="5" fillId="35" borderId="19" xfId="52" applyFont="1" applyFill="1" applyBorder="1" applyAlignment="1">
      <alignment horizontal="center" vertical="center" wrapText="1"/>
      <protection/>
    </xf>
    <xf numFmtId="0" fontId="5" fillId="35" borderId="20" xfId="52" applyFont="1" applyFill="1" applyBorder="1" applyAlignment="1">
      <alignment horizontal="center" vertical="center" wrapText="1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_CUSTOS RESUMO" xfId="52"/>
    <cellStyle name="Nota" xfId="53"/>
    <cellStyle name="Percent" xfId="54"/>
    <cellStyle name="Porcentagem 2" xfId="55"/>
    <cellStyle name="Saída" xfId="56"/>
    <cellStyle name="Comm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SheetLayoutView="100" workbookViewId="0" topLeftCell="A80">
      <selection activeCell="A89" sqref="A89:G89"/>
    </sheetView>
  </sheetViews>
  <sheetFormatPr defaultColWidth="9.140625" defaultRowHeight="12.75"/>
  <cols>
    <col min="1" max="1" width="21.140625" style="14" customWidth="1"/>
    <col min="2" max="2" width="9.421875" style="5" customWidth="1"/>
    <col min="3" max="3" width="61.7109375" style="17" customWidth="1"/>
    <col min="4" max="4" width="7.8515625" style="6" customWidth="1"/>
    <col min="5" max="5" width="12.28125" style="6" customWidth="1"/>
    <col min="6" max="6" width="13.7109375" style="6" customWidth="1"/>
    <col min="7" max="7" width="18.7109375" style="6" customWidth="1"/>
    <col min="8" max="8" width="9.140625" style="5" customWidth="1"/>
    <col min="9" max="9" width="14.7109375" style="9" bestFit="1" customWidth="1"/>
    <col min="10" max="10" width="13.7109375" style="9" bestFit="1" customWidth="1"/>
    <col min="11" max="16384" width="9.140625" style="5" customWidth="1"/>
  </cols>
  <sheetData>
    <row r="1" spans="1:7" ht="21.75" customHeight="1">
      <c r="A1" s="160"/>
      <c r="B1" s="161"/>
      <c r="C1" s="161"/>
      <c r="D1" s="161"/>
      <c r="E1" s="161"/>
      <c r="F1" s="161"/>
      <c r="G1" s="162"/>
    </row>
    <row r="2" spans="1:7" ht="21.75" customHeight="1">
      <c r="A2" s="163"/>
      <c r="B2" s="164"/>
      <c r="C2" s="164"/>
      <c r="D2" s="164"/>
      <c r="E2" s="164"/>
      <c r="F2" s="164"/>
      <c r="G2" s="165"/>
    </row>
    <row r="3" spans="1:7" ht="21.75" customHeight="1">
      <c r="A3" s="163"/>
      <c r="B3" s="164"/>
      <c r="C3" s="164"/>
      <c r="D3" s="164"/>
      <c r="E3" s="164"/>
      <c r="F3" s="164"/>
      <c r="G3" s="165"/>
    </row>
    <row r="4" spans="1:7" ht="21.75" customHeight="1">
      <c r="A4" s="163"/>
      <c r="B4" s="164"/>
      <c r="C4" s="164"/>
      <c r="D4" s="164"/>
      <c r="E4" s="164"/>
      <c r="F4" s="164"/>
      <c r="G4" s="165"/>
    </row>
    <row r="5" spans="1:7" ht="21.75" customHeight="1">
      <c r="A5" s="166"/>
      <c r="B5" s="167"/>
      <c r="C5" s="167"/>
      <c r="D5" s="167"/>
      <c r="E5" s="167"/>
      <c r="F5" s="167"/>
      <c r="G5" s="168"/>
    </row>
    <row r="6" spans="1:7" ht="75" customHeight="1">
      <c r="A6" s="154" t="s">
        <v>21</v>
      </c>
      <c r="B6" s="155"/>
      <c r="C6" s="155"/>
      <c r="D6" s="155"/>
      <c r="E6" s="156"/>
      <c r="F6" s="152" t="s">
        <v>418</v>
      </c>
      <c r="G6" s="153"/>
    </row>
    <row r="7" spans="1:10" s="20" customFormat="1" ht="81.75" customHeight="1">
      <c r="A7" s="169" t="s">
        <v>402</v>
      </c>
      <c r="B7" s="170"/>
      <c r="C7" s="170"/>
      <c r="D7" s="170"/>
      <c r="E7" s="170"/>
      <c r="F7" s="170"/>
      <c r="G7" s="171"/>
      <c r="I7" s="25"/>
      <c r="J7" s="25"/>
    </row>
    <row r="8" spans="1:7" ht="29.25" customHeight="1">
      <c r="A8" s="172" t="s">
        <v>404</v>
      </c>
      <c r="B8" s="172"/>
      <c r="C8" s="172"/>
      <c r="D8" s="172"/>
      <c r="E8" s="172"/>
      <c r="F8" s="172"/>
      <c r="G8" s="172"/>
    </row>
    <row r="9" spans="1:9" ht="105" customHeight="1">
      <c r="A9" s="173" t="s">
        <v>416</v>
      </c>
      <c r="B9" s="174"/>
      <c r="C9" s="174"/>
      <c r="D9" s="174"/>
      <c r="E9" s="174"/>
      <c r="F9" s="174"/>
      <c r="G9" s="175"/>
      <c r="I9" s="54"/>
    </row>
    <row r="10" spans="1:7" ht="21" customHeight="1">
      <c r="A10" s="176" t="s">
        <v>405</v>
      </c>
      <c r="B10" s="177" t="s">
        <v>1</v>
      </c>
      <c r="C10" s="177" t="s">
        <v>403</v>
      </c>
      <c r="D10" s="142" t="s">
        <v>413</v>
      </c>
      <c r="E10" s="143"/>
      <c r="F10" s="143"/>
      <c r="G10" s="144"/>
    </row>
    <row r="11" spans="1:7" ht="47.25">
      <c r="A11" s="176"/>
      <c r="B11" s="177"/>
      <c r="C11" s="177"/>
      <c r="D11" s="1" t="s">
        <v>301</v>
      </c>
      <c r="E11" s="2" t="s">
        <v>20</v>
      </c>
      <c r="F11" s="3" t="s">
        <v>417</v>
      </c>
      <c r="G11" s="3" t="s">
        <v>394</v>
      </c>
    </row>
    <row r="12" spans="1:7" ht="19.5" customHeight="1">
      <c r="A12" s="30"/>
      <c r="B12" s="26" t="s">
        <v>41</v>
      </c>
      <c r="C12" s="107" t="s">
        <v>395</v>
      </c>
      <c r="D12" s="108"/>
      <c r="E12" s="108"/>
      <c r="F12" s="108"/>
      <c r="G12" s="110">
        <f>G13</f>
        <v>47282.13</v>
      </c>
    </row>
    <row r="13" spans="1:7" ht="19.5" customHeight="1">
      <c r="A13" s="31"/>
      <c r="B13" s="4">
        <v>1</v>
      </c>
      <c r="C13" s="109" t="s">
        <v>2</v>
      </c>
      <c r="D13" s="104"/>
      <c r="E13" s="104"/>
      <c r="F13" s="104"/>
      <c r="G13" s="106">
        <f>SUM(G14:G21)</f>
        <v>47282.13</v>
      </c>
    </row>
    <row r="14" spans="1:7" ht="30">
      <c r="A14" s="32" t="s">
        <v>253</v>
      </c>
      <c r="B14" s="140" t="s">
        <v>3</v>
      </c>
      <c r="C14" s="112" t="s">
        <v>326</v>
      </c>
      <c r="D14" s="92" t="s">
        <v>4</v>
      </c>
      <c r="E14" s="93">
        <f>'Memoria de Calculo'!E7</f>
        <v>8</v>
      </c>
      <c r="F14" s="28">
        <f>261.38*1.05</f>
        <v>274.45</v>
      </c>
      <c r="G14" s="93">
        <f>E14*F14</f>
        <v>2195.6</v>
      </c>
    </row>
    <row r="15" spans="1:7" ht="30">
      <c r="A15" s="51" t="s">
        <v>382</v>
      </c>
      <c r="B15" s="140" t="s">
        <v>5</v>
      </c>
      <c r="C15" s="84" t="s">
        <v>381</v>
      </c>
      <c r="D15" s="72" t="s">
        <v>383</v>
      </c>
      <c r="E15" s="93">
        <f>'Memoria de Calculo'!E8</f>
        <v>1</v>
      </c>
      <c r="F15" s="85">
        <v>13710.5</v>
      </c>
      <c r="G15" s="93">
        <f aca="true" t="shared" si="0" ref="G15:G21">E15*F15</f>
        <v>13710.5</v>
      </c>
    </row>
    <row r="16" spans="1:7" ht="38.25" customHeight="1">
      <c r="A16" s="32" t="s">
        <v>27</v>
      </c>
      <c r="B16" s="140" t="s">
        <v>26</v>
      </c>
      <c r="C16" s="84" t="s">
        <v>28</v>
      </c>
      <c r="D16" s="72" t="s">
        <v>11</v>
      </c>
      <c r="E16" s="93">
        <f>'Memoria de Calculo'!E9</f>
        <v>10</v>
      </c>
      <c r="F16" s="85">
        <f>678.26*1.05</f>
        <v>712.17</v>
      </c>
      <c r="G16" s="93">
        <f t="shared" si="0"/>
        <v>7121.7</v>
      </c>
    </row>
    <row r="17" spans="1:7" ht="49.5" customHeight="1">
      <c r="A17" s="32" t="s">
        <v>255</v>
      </c>
      <c r="B17" s="140" t="s">
        <v>79</v>
      </c>
      <c r="C17" s="113" t="s">
        <v>401</v>
      </c>
      <c r="D17" s="92" t="s">
        <v>4</v>
      </c>
      <c r="E17" s="82">
        <f>'Memoria de Calculo'!E10</f>
        <v>12</v>
      </c>
      <c r="F17" s="82">
        <f>392.87*1.05</f>
        <v>412.51</v>
      </c>
      <c r="G17" s="93">
        <f t="shared" si="0"/>
        <v>4950.12</v>
      </c>
    </row>
    <row r="18" spans="1:7" ht="48.75" customHeight="1">
      <c r="A18" s="32" t="s">
        <v>118</v>
      </c>
      <c r="B18" s="140" t="s">
        <v>89</v>
      </c>
      <c r="C18" s="119" t="s">
        <v>119</v>
      </c>
      <c r="D18" s="92" t="s">
        <v>0</v>
      </c>
      <c r="E18" s="82">
        <f>'Memoria de Calculo'!E11</f>
        <v>25</v>
      </c>
      <c r="F18" s="82">
        <f>34.91*1.05</f>
        <v>36.66</v>
      </c>
      <c r="G18" s="93">
        <f t="shared" si="0"/>
        <v>916.5</v>
      </c>
    </row>
    <row r="19" spans="1:7" ht="47.25" customHeight="1">
      <c r="A19" s="32" t="s">
        <v>120</v>
      </c>
      <c r="B19" s="140" t="s">
        <v>90</v>
      </c>
      <c r="C19" s="113" t="s">
        <v>121</v>
      </c>
      <c r="D19" s="92" t="s">
        <v>0</v>
      </c>
      <c r="E19" s="82">
        <f>'Memoria de Calculo'!E12</f>
        <v>25</v>
      </c>
      <c r="F19" s="82">
        <f>291.19*1.05</f>
        <v>305.75</v>
      </c>
      <c r="G19" s="93">
        <f t="shared" si="0"/>
        <v>7643.75</v>
      </c>
    </row>
    <row r="20" spans="1:7" ht="49.5" customHeight="1">
      <c r="A20" s="32" t="s">
        <v>122</v>
      </c>
      <c r="B20" s="140" t="s">
        <v>91</v>
      </c>
      <c r="C20" s="114" t="s">
        <v>124</v>
      </c>
      <c r="D20" s="92" t="s">
        <v>0</v>
      </c>
      <c r="E20" s="82">
        <f>'Memoria de Calculo'!E13</f>
        <v>20</v>
      </c>
      <c r="F20" s="82">
        <f>421.97*1.05</f>
        <v>443.07</v>
      </c>
      <c r="G20" s="93">
        <f t="shared" si="0"/>
        <v>8861.4</v>
      </c>
    </row>
    <row r="21" spans="1:7" ht="32.25" customHeight="1">
      <c r="A21" s="32" t="s">
        <v>117</v>
      </c>
      <c r="B21" s="140" t="s">
        <v>123</v>
      </c>
      <c r="C21" s="113" t="s">
        <v>93</v>
      </c>
      <c r="D21" s="92" t="s">
        <v>40</v>
      </c>
      <c r="E21" s="82">
        <f>'Memoria de Calculo'!E14</f>
        <v>1</v>
      </c>
      <c r="F21" s="82">
        <f>1792.91*1.05</f>
        <v>1882.56</v>
      </c>
      <c r="G21" s="93">
        <f t="shared" si="0"/>
        <v>1882.56</v>
      </c>
    </row>
    <row r="22" spans="1:7" ht="19.5" customHeight="1">
      <c r="A22" s="30"/>
      <c r="B22" s="26" t="s">
        <v>44</v>
      </c>
      <c r="C22" s="107" t="s">
        <v>42</v>
      </c>
      <c r="D22" s="108"/>
      <c r="E22" s="108"/>
      <c r="F22" s="108"/>
      <c r="G22" s="111">
        <f>G23+G27+G32</f>
        <v>1186573.41</v>
      </c>
    </row>
    <row r="23" spans="1:7" ht="19.5" customHeight="1">
      <c r="A23" s="32"/>
      <c r="B23" s="27">
        <v>2</v>
      </c>
      <c r="C23" s="103" t="s">
        <v>29</v>
      </c>
      <c r="D23" s="104"/>
      <c r="E23" s="104"/>
      <c r="F23" s="104"/>
      <c r="G23" s="106">
        <f>SUM(G24:G26)</f>
        <v>0</v>
      </c>
    </row>
    <row r="24" spans="1:7" ht="30">
      <c r="A24" s="82" t="s">
        <v>30</v>
      </c>
      <c r="B24" s="91" t="s">
        <v>22</v>
      </c>
      <c r="C24" s="29" t="s">
        <v>94</v>
      </c>
      <c r="D24" s="91" t="s">
        <v>19</v>
      </c>
      <c r="E24" s="82" t="s">
        <v>30</v>
      </c>
      <c r="F24" s="82">
        <v>0</v>
      </c>
      <c r="G24" s="93">
        <v>0</v>
      </c>
    </row>
    <row r="25" spans="1:7" ht="36" customHeight="1">
      <c r="A25" s="82" t="s">
        <v>30</v>
      </c>
      <c r="B25" s="91" t="s">
        <v>23</v>
      </c>
      <c r="C25" s="29" t="s">
        <v>96</v>
      </c>
      <c r="D25" s="91" t="s">
        <v>19</v>
      </c>
      <c r="E25" s="82" t="s">
        <v>30</v>
      </c>
      <c r="F25" s="82">
        <v>0</v>
      </c>
      <c r="G25" s="93">
        <v>0</v>
      </c>
    </row>
    <row r="26" spans="1:7" ht="30">
      <c r="A26" s="82" t="s">
        <v>30</v>
      </c>
      <c r="B26" s="91" t="s">
        <v>95</v>
      </c>
      <c r="C26" s="29" t="s">
        <v>92</v>
      </c>
      <c r="D26" s="91" t="s">
        <v>4</v>
      </c>
      <c r="E26" s="82" t="s">
        <v>30</v>
      </c>
      <c r="F26" s="82">
        <v>0</v>
      </c>
      <c r="G26" s="93">
        <v>0</v>
      </c>
    </row>
    <row r="27" spans="1:7" ht="19.5" customHeight="1">
      <c r="A27" s="32"/>
      <c r="B27" s="27">
        <v>3</v>
      </c>
      <c r="C27" s="103" t="s">
        <v>25</v>
      </c>
      <c r="D27" s="104"/>
      <c r="E27" s="104"/>
      <c r="F27" s="104"/>
      <c r="G27" s="106">
        <f>SUM(G28:G31)</f>
        <v>981598.07</v>
      </c>
    </row>
    <row r="28" spans="1:7" ht="33.75" customHeight="1">
      <c r="A28" s="32" t="s">
        <v>125</v>
      </c>
      <c r="B28" s="140" t="s">
        <v>32</v>
      </c>
      <c r="C28" s="29" t="s">
        <v>126</v>
      </c>
      <c r="D28" s="92" t="s">
        <v>0</v>
      </c>
      <c r="E28" s="93">
        <f>'Memoria de Calculo'!E26</f>
        <v>295.7</v>
      </c>
      <c r="F28" s="85">
        <f>53.06*1.05</f>
        <v>55.71</v>
      </c>
      <c r="G28" s="93">
        <f>F28*E28</f>
        <v>16473.45</v>
      </c>
    </row>
    <row r="29" spans="1:7" ht="48" customHeight="1">
      <c r="A29" s="32" t="s">
        <v>127</v>
      </c>
      <c r="B29" s="140" t="s">
        <v>33</v>
      </c>
      <c r="C29" s="29" t="s">
        <v>397</v>
      </c>
      <c r="D29" s="92" t="s">
        <v>4</v>
      </c>
      <c r="E29" s="93">
        <f>'Memoria de Calculo'!E48</f>
        <v>7158.16</v>
      </c>
      <c r="F29" s="85">
        <f>84.26*1.05</f>
        <v>88.47</v>
      </c>
      <c r="G29" s="93">
        <f>F29*E29</f>
        <v>633282.42</v>
      </c>
    </row>
    <row r="30" spans="1:7" ht="27" customHeight="1">
      <c r="A30" s="91" t="s">
        <v>128</v>
      </c>
      <c r="B30" s="140" t="s">
        <v>34</v>
      </c>
      <c r="C30" s="29" t="s">
        <v>129</v>
      </c>
      <c r="D30" s="91" t="s">
        <v>0</v>
      </c>
      <c r="E30" s="93">
        <f>'Memoria de Calculo'!E70</f>
        <v>1157.52</v>
      </c>
      <c r="F30" s="85">
        <f>76.69*1.05</f>
        <v>80.52</v>
      </c>
      <c r="G30" s="93">
        <f>F30*E30</f>
        <v>93203.51</v>
      </c>
    </row>
    <row r="31" spans="1:7" ht="36" customHeight="1">
      <c r="A31" s="91" t="s">
        <v>130</v>
      </c>
      <c r="B31" s="140" t="s">
        <v>38</v>
      </c>
      <c r="C31" s="29" t="s">
        <v>131</v>
      </c>
      <c r="D31" s="91" t="s">
        <v>4</v>
      </c>
      <c r="E31" s="93">
        <f>'Memoria de Calculo'!E79</f>
        <v>2599.55</v>
      </c>
      <c r="F31" s="85">
        <f>87.43*1.05</f>
        <v>91.8</v>
      </c>
      <c r="G31" s="93">
        <f>F31*E31</f>
        <v>238638.69</v>
      </c>
    </row>
    <row r="32" spans="1:7" ht="19.5" customHeight="1">
      <c r="A32" s="32"/>
      <c r="B32" s="27">
        <v>4</v>
      </c>
      <c r="C32" s="103" t="s">
        <v>135</v>
      </c>
      <c r="D32" s="104"/>
      <c r="E32" s="104"/>
      <c r="F32" s="104"/>
      <c r="G32" s="106">
        <f>SUM(G33:G38)</f>
        <v>204975.34</v>
      </c>
    </row>
    <row r="33" spans="1:7" ht="39" customHeight="1">
      <c r="A33" s="91" t="s">
        <v>63</v>
      </c>
      <c r="B33" s="141" t="s">
        <v>35</v>
      </c>
      <c r="C33" s="29" t="s">
        <v>64</v>
      </c>
      <c r="D33" s="91" t="s">
        <v>0</v>
      </c>
      <c r="E33" s="82">
        <f>'Memoria de Calculo'!E93</f>
        <v>117</v>
      </c>
      <c r="F33" s="82">
        <f>139.41*1.05</f>
        <v>146.38</v>
      </c>
      <c r="G33" s="93">
        <f aca="true" t="shared" si="1" ref="G33:G38">F33*E33</f>
        <v>17126.46</v>
      </c>
    </row>
    <row r="34" spans="1:7" ht="40.5" customHeight="1">
      <c r="A34" s="91" t="s">
        <v>60</v>
      </c>
      <c r="B34" s="141" t="s">
        <v>36</v>
      </c>
      <c r="C34" s="29" t="s">
        <v>132</v>
      </c>
      <c r="D34" s="91" t="s">
        <v>0</v>
      </c>
      <c r="E34" s="82">
        <f>'Memoria de Calculo'!E103</f>
        <v>135.83</v>
      </c>
      <c r="F34" s="82">
        <f>192.72*1.05</f>
        <v>202.36</v>
      </c>
      <c r="G34" s="93">
        <f t="shared" si="1"/>
        <v>27486.56</v>
      </c>
    </row>
    <row r="35" spans="1:7" ht="36" customHeight="1">
      <c r="A35" s="91" t="s">
        <v>58</v>
      </c>
      <c r="B35" s="141" t="s">
        <v>37</v>
      </c>
      <c r="C35" s="29" t="s">
        <v>57</v>
      </c>
      <c r="D35" s="91" t="s">
        <v>0</v>
      </c>
      <c r="E35" s="82">
        <f>'Memoria de Calculo'!E108</f>
        <v>314.36</v>
      </c>
      <c r="F35" s="82">
        <f>269.52*1.05</f>
        <v>283</v>
      </c>
      <c r="G35" s="93">
        <f t="shared" si="1"/>
        <v>88963.88</v>
      </c>
    </row>
    <row r="36" spans="1:7" ht="48" customHeight="1">
      <c r="A36" s="95" t="s">
        <v>399</v>
      </c>
      <c r="B36" s="141" t="s">
        <v>39</v>
      </c>
      <c r="C36" s="29" t="s">
        <v>400</v>
      </c>
      <c r="D36" s="94" t="s">
        <v>40</v>
      </c>
      <c r="E36" s="82">
        <f>'Memoria de Calculo'!E114</f>
        <v>3</v>
      </c>
      <c r="F36" s="82">
        <f>4014.34*1.05</f>
        <v>4215.06</v>
      </c>
      <c r="G36" s="97">
        <f t="shared" si="1"/>
        <v>12645.18</v>
      </c>
    </row>
    <row r="37" spans="1:7" ht="50.25" customHeight="1">
      <c r="A37" s="91" t="s">
        <v>133</v>
      </c>
      <c r="B37" s="141" t="s">
        <v>62</v>
      </c>
      <c r="C37" s="29" t="s">
        <v>134</v>
      </c>
      <c r="D37" s="92" t="s">
        <v>40</v>
      </c>
      <c r="E37" s="82">
        <f>'Memoria de Calculo'!E119</f>
        <v>6</v>
      </c>
      <c r="F37" s="82">
        <f>4444.78*1.05</f>
        <v>4667.02</v>
      </c>
      <c r="G37" s="93">
        <f t="shared" si="1"/>
        <v>28002.12</v>
      </c>
    </row>
    <row r="38" spans="1:7" ht="38.25" customHeight="1">
      <c r="A38" s="91" t="s">
        <v>65</v>
      </c>
      <c r="B38" s="141" t="s">
        <v>398</v>
      </c>
      <c r="C38" s="29" t="s">
        <v>66</v>
      </c>
      <c r="D38" s="91" t="s">
        <v>40</v>
      </c>
      <c r="E38" s="82">
        <f>'Memoria de Calculo'!E125</f>
        <v>21</v>
      </c>
      <c r="F38" s="82">
        <f>1394.61*1.05</f>
        <v>1464.34</v>
      </c>
      <c r="G38" s="93">
        <f t="shared" si="1"/>
        <v>30751.14</v>
      </c>
    </row>
    <row r="39" spans="1:7" ht="15" hidden="1">
      <c r="A39" s="91"/>
      <c r="B39" s="23" t="s">
        <v>37</v>
      </c>
      <c r="C39" s="29"/>
      <c r="D39" s="23"/>
      <c r="E39" s="82"/>
      <c r="F39" s="82"/>
      <c r="G39" s="93"/>
    </row>
    <row r="40" spans="1:7" ht="15" hidden="1">
      <c r="A40" s="91"/>
      <c r="B40" s="23" t="s">
        <v>39</v>
      </c>
      <c r="C40" s="29"/>
      <c r="D40" s="23"/>
      <c r="E40" s="82"/>
      <c r="F40" s="82"/>
      <c r="G40" s="93"/>
    </row>
    <row r="41" spans="1:7" ht="19.5" customHeight="1">
      <c r="A41" s="30"/>
      <c r="B41" s="26" t="s">
        <v>288</v>
      </c>
      <c r="C41" s="107" t="s">
        <v>290</v>
      </c>
      <c r="D41" s="108"/>
      <c r="E41" s="108"/>
      <c r="F41" s="108"/>
      <c r="G41" s="110">
        <f>G43+G48+G50+G53</f>
        <v>423435.24</v>
      </c>
    </row>
    <row r="42" spans="1:7" ht="19.5" customHeight="1">
      <c r="A42" s="157" t="s">
        <v>43</v>
      </c>
      <c r="B42" s="157"/>
      <c r="C42" s="157"/>
      <c r="D42" s="157"/>
      <c r="E42" s="157"/>
      <c r="F42" s="157"/>
      <c r="G42" s="157"/>
    </row>
    <row r="43" spans="1:7" ht="19.5" customHeight="1">
      <c r="A43" s="31"/>
      <c r="B43" s="4">
        <v>5</v>
      </c>
      <c r="C43" s="103" t="s">
        <v>46</v>
      </c>
      <c r="D43" s="104"/>
      <c r="E43" s="104"/>
      <c r="F43" s="104"/>
      <c r="G43" s="106">
        <f>SUM(G44:G47)</f>
        <v>75484.64</v>
      </c>
    </row>
    <row r="44" spans="1:7" ht="45">
      <c r="A44" s="51" t="s">
        <v>390</v>
      </c>
      <c r="B44" s="83" t="s">
        <v>45</v>
      </c>
      <c r="C44" s="29" t="s">
        <v>389</v>
      </c>
      <c r="D44" s="92" t="s">
        <v>19</v>
      </c>
      <c r="E44" s="82">
        <f>'Memoria de Calculo'!E133</f>
        <v>1134.88</v>
      </c>
      <c r="F44" s="82">
        <v>11.86</v>
      </c>
      <c r="G44" s="93">
        <f>F44*E44</f>
        <v>13459.68</v>
      </c>
    </row>
    <row r="45" spans="1:7" ht="30">
      <c r="A45" s="51" t="s">
        <v>391</v>
      </c>
      <c r="B45" s="83" t="s">
        <v>80</v>
      </c>
      <c r="C45" s="29" t="s">
        <v>407</v>
      </c>
      <c r="D45" s="92" t="s">
        <v>19</v>
      </c>
      <c r="E45" s="82">
        <f>'Memoria de Calculo'!E138</f>
        <v>159.85</v>
      </c>
      <c r="F45" s="82">
        <v>76.98</v>
      </c>
      <c r="G45" s="93">
        <f>F45*E45</f>
        <v>12305.25</v>
      </c>
    </row>
    <row r="46" spans="1:7" ht="75">
      <c r="A46" s="51" t="s">
        <v>414</v>
      </c>
      <c r="B46" s="83" t="s">
        <v>81</v>
      </c>
      <c r="C46" s="29" t="s">
        <v>415</v>
      </c>
      <c r="D46" s="92" t="s">
        <v>19</v>
      </c>
      <c r="E46" s="82">
        <f>'Memoria de Calculo'!E144</f>
        <v>98.69</v>
      </c>
      <c r="F46" s="82">
        <v>87.41</v>
      </c>
      <c r="G46" s="93">
        <f>F46*E46</f>
        <v>8626.49</v>
      </c>
    </row>
    <row r="47" spans="1:7" ht="35.25" customHeight="1">
      <c r="A47" s="51" t="s">
        <v>393</v>
      </c>
      <c r="B47" s="83" t="s">
        <v>97</v>
      </c>
      <c r="C47" s="29" t="s">
        <v>392</v>
      </c>
      <c r="D47" s="92" t="s">
        <v>19</v>
      </c>
      <c r="E47" s="82">
        <f>'Memoria de Calculo'!E152</f>
        <v>1220.47</v>
      </c>
      <c r="F47" s="82">
        <v>33.67</v>
      </c>
      <c r="G47" s="93">
        <f>F47*E47</f>
        <v>41093.22</v>
      </c>
    </row>
    <row r="48" spans="1:7" ht="19.5" customHeight="1">
      <c r="A48" s="32"/>
      <c r="B48" s="27">
        <v>6</v>
      </c>
      <c r="C48" s="103" t="s">
        <v>47</v>
      </c>
      <c r="D48" s="104"/>
      <c r="E48" s="104"/>
      <c r="F48" s="104"/>
      <c r="G48" s="106">
        <f>G49</f>
        <v>100840.24</v>
      </c>
    </row>
    <row r="49" spans="1:7" ht="81.75" customHeight="1">
      <c r="A49" s="51" t="s">
        <v>177</v>
      </c>
      <c r="B49" s="83" t="s">
        <v>48</v>
      </c>
      <c r="C49" s="29" t="s">
        <v>176</v>
      </c>
      <c r="D49" s="92" t="s">
        <v>0</v>
      </c>
      <c r="E49" s="82">
        <f>'Memoria de Calculo'!E166</f>
        <v>1644.76</v>
      </c>
      <c r="F49" s="82">
        <v>61.31</v>
      </c>
      <c r="G49" s="93">
        <f>F49*E49</f>
        <v>100840.24</v>
      </c>
    </row>
    <row r="50" spans="1:7" ht="19.5" customHeight="1">
      <c r="A50" s="32"/>
      <c r="B50" s="27">
        <v>7</v>
      </c>
      <c r="C50" s="103" t="s">
        <v>50</v>
      </c>
      <c r="D50" s="104"/>
      <c r="E50" s="104"/>
      <c r="F50" s="104"/>
      <c r="G50" s="106">
        <f>SUM(G51:G52)</f>
        <v>45926.7</v>
      </c>
    </row>
    <row r="51" spans="1:7" ht="78" customHeight="1">
      <c r="A51" s="51" t="s">
        <v>180</v>
      </c>
      <c r="B51" s="83" t="s">
        <v>49</v>
      </c>
      <c r="C51" s="118" t="s">
        <v>179</v>
      </c>
      <c r="D51" s="92" t="s">
        <v>52</v>
      </c>
      <c r="E51" s="82">
        <f>'Memoria de Calculo'!E178</f>
        <v>30</v>
      </c>
      <c r="F51" s="82">
        <v>1046.02</v>
      </c>
      <c r="G51" s="93">
        <f>F51*E51</f>
        <v>31380.6</v>
      </c>
    </row>
    <row r="52" spans="1:7" ht="79.5" customHeight="1">
      <c r="A52" s="51" t="s">
        <v>76</v>
      </c>
      <c r="B52" s="83" t="s">
        <v>82</v>
      </c>
      <c r="C52" s="118" t="s">
        <v>178</v>
      </c>
      <c r="D52" s="92" t="s">
        <v>52</v>
      </c>
      <c r="E52" s="82">
        <f>'Memoria de Calculo'!E190</f>
        <v>30</v>
      </c>
      <c r="F52" s="82">
        <v>484.87</v>
      </c>
      <c r="G52" s="93">
        <f>F52*E52</f>
        <v>14546.1</v>
      </c>
    </row>
    <row r="53" spans="1:7" ht="19.5" customHeight="1">
      <c r="A53" s="32"/>
      <c r="B53" s="27">
        <v>8</v>
      </c>
      <c r="C53" s="103" t="s">
        <v>54</v>
      </c>
      <c r="D53" s="104"/>
      <c r="E53" s="104"/>
      <c r="F53" s="104"/>
      <c r="G53" s="106">
        <f>SUM(G54:G58)</f>
        <v>201183.66</v>
      </c>
    </row>
    <row r="54" spans="1:7" ht="67.5" customHeight="1">
      <c r="A54" s="51" t="s">
        <v>78</v>
      </c>
      <c r="B54" s="83" t="s">
        <v>51</v>
      </c>
      <c r="C54" s="118" t="s">
        <v>194</v>
      </c>
      <c r="D54" s="92" t="s">
        <v>52</v>
      </c>
      <c r="E54" s="82">
        <f>'Memoria de Calculo'!E205</f>
        <v>139</v>
      </c>
      <c r="F54" s="82">
        <v>309.1</v>
      </c>
      <c r="G54" s="93">
        <f>F54*E54</f>
        <v>42964.9</v>
      </c>
    </row>
    <row r="55" spans="1:7" ht="33.75" customHeight="1">
      <c r="A55" s="51" t="s">
        <v>85</v>
      </c>
      <c r="B55" s="83" t="s">
        <v>77</v>
      </c>
      <c r="C55" s="118" t="s">
        <v>233</v>
      </c>
      <c r="D55" s="92" t="s">
        <v>52</v>
      </c>
      <c r="E55" s="82">
        <f>'Memoria de Calculo'!E219</f>
        <v>139</v>
      </c>
      <c r="F55" s="82">
        <v>26.02</v>
      </c>
      <c r="G55" s="93">
        <f>F55*E55</f>
        <v>3616.78</v>
      </c>
    </row>
    <row r="56" spans="1:7" ht="113.25" customHeight="1">
      <c r="A56" s="51" t="s">
        <v>182</v>
      </c>
      <c r="B56" s="83" t="s">
        <v>86</v>
      </c>
      <c r="C56" s="29" t="s">
        <v>181</v>
      </c>
      <c r="D56" s="92" t="s">
        <v>52</v>
      </c>
      <c r="E56" s="82">
        <f>'Memoria de Calculo'!E230</f>
        <v>139</v>
      </c>
      <c r="F56" s="82">
        <v>994.76</v>
      </c>
      <c r="G56" s="93">
        <f>F56*E56</f>
        <v>138271.64</v>
      </c>
    </row>
    <row r="57" spans="1:7" ht="19.5" customHeight="1">
      <c r="A57" s="32"/>
      <c r="B57" s="27" t="s">
        <v>51</v>
      </c>
      <c r="C57" s="145" t="s">
        <v>258</v>
      </c>
      <c r="D57" s="146"/>
      <c r="E57" s="146"/>
      <c r="F57" s="104"/>
      <c r="G57" s="105"/>
    </row>
    <row r="58" spans="1:7" ht="63.75" customHeight="1">
      <c r="A58" s="51" t="s">
        <v>385</v>
      </c>
      <c r="B58" s="83" t="s">
        <v>259</v>
      </c>
      <c r="C58" s="29" t="s">
        <v>386</v>
      </c>
      <c r="D58" s="92" t="s">
        <v>0</v>
      </c>
      <c r="E58" s="82">
        <f>'Memoria de Calculo'!E245</f>
        <v>293.5</v>
      </c>
      <c r="F58" s="82">
        <v>55.64</v>
      </c>
      <c r="G58" s="93">
        <f>F58*E58</f>
        <v>16330.34</v>
      </c>
    </row>
    <row r="59" spans="1:7" ht="19.5" customHeight="1">
      <c r="A59" s="30"/>
      <c r="B59" s="26" t="s">
        <v>396</v>
      </c>
      <c r="C59" s="107" t="s">
        <v>291</v>
      </c>
      <c r="D59" s="108"/>
      <c r="E59" s="108"/>
      <c r="F59" s="108"/>
      <c r="G59" s="110">
        <f>G61+G68+G71+G80</f>
        <v>166001.25</v>
      </c>
    </row>
    <row r="60" spans="1:7" ht="19.5" customHeight="1">
      <c r="A60" s="147" t="s">
        <v>71</v>
      </c>
      <c r="B60" s="148"/>
      <c r="C60" s="148"/>
      <c r="D60" s="148"/>
      <c r="E60" s="148"/>
      <c r="F60" s="148"/>
      <c r="G60" s="149"/>
    </row>
    <row r="61" spans="1:7" ht="19.5" customHeight="1">
      <c r="A61" s="32"/>
      <c r="B61" s="27">
        <v>9</v>
      </c>
      <c r="C61" s="103" t="s">
        <v>283</v>
      </c>
      <c r="D61" s="104"/>
      <c r="E61" s="104"/>
      <c r="F61" s="104"/>
      <c r="G61" s="106">
        <f>SUM(G62:G67)</f>
        <v>99151.37</v>
      </c>
    </row>
    <row r="62" spans="1:7" ht="30">
      <c r="A62" s="51" t="s">
        <v>222</v>
      </c>
      <c r="B62" s="83" t="s">
        <v>53</v>
      </c>
      <c r="C62" s="29" t="s">
        <v>221</v>
      </c>
      <c r="D62" s="92" t="s">
        <v>0</v>
      </c>
      <c r="E62" s="82">
        <f>'Memoria de Calculo'!E263</f>
        <v>1362.6</v>
      </c>
      <c r="F62" s="82">
        <v>50.47</v>
      </c>
      <c r="G62" s="93">
        <f aca="true" t="shared" si="2" ref="G62:G67">F62*E62</f>
        <v>68770.42</v>
      </c>
    </row>
    <row r="63" spans="1:7" ht="30">
      <c r="A63" s="51" t="s">
        <v>224</v>
      </c>
      <c r="B63" s="83" t="s">
        <v>83</v>
      </c>
      <c r="C63" s="29" t="s">
        <v>223</v>
      </c>
      <c r="D63" s="92" t="s">
        <v>0</v>
      </c>
      <c r="E63" s="82">
        <f>'Memoria de Calculo'!E269</f>
        <v>74.35</v>
      </c>
      <c r="F63" s="82">
        <v>70.05</v>
      </c>
      <c r="G63" s="93">
        <f t="shared" si="2"/>
        <v>5208.22</v>
      </c>
    </row>
    <row r="64" spans="1:7" ht="30">
      <c r="A64" s="51" t="s">
        <v>226</v>
      </c>
      <c r="B64" s="83" t="s">
        <v>243</v>
      </c>
      <c r="C64" s="29" t="s">
        <v>225</v>
      </c>
      <c r="D64" s="92" t="s">
        <v>0</v>
      </c>
      <c r="E64" s="82">
        <f>'Memoria de Calculo'!E271</f>
        <v>199.28</v>
      </c>
      <c r="F64" s="82">
        <v>95.28</v>
      </c>
      <c r="G64" s="93">
        <f t="shared" si="2"/>
        <v>18987.4</v>
      </c>
    </row>
    <row r="65" spans="1:7" ht="30">
      <c r="A65" s="51" t="s">
        <v>228</v>
      </c>
      <c r="B65" s="83" t="s">
        <v>244</v>
      </c>
      <c r="C65" s="29" t="s">
        <v>227</v>
      </c>
      <c r="D65" s="92" t="s">
        <v>0</v>
      </c>
      <c r="E65" s="82">
        <f>'Memoria de Calculo'!E274</f>
        <v>36.07</v>
      </c>
      <c r="F65" s="82">
        <v>140.53</v>
      </c>
      <c r="G65" s="93">
        <f t="shared" si="2"/>
        <v>5068.92</v>
      </c>
    </row>
    <row r="66" spans="1:7" ht="48.75" customHeight="1">
      <c r="A66" s="51" t="s">
        <v>75</v>
      </c>
      <c r="B66" s="83" t="s">
        <v>284</v>
      </c>
      <c r="C66" s="29" t="s">
        <v>292</v>
      </c>
      <c r="D66" s="92" t="s">
        <v>40</v>
      </c>
      <c r="E66" s="82">
        <f>'Memoria de Calculo'!E275</f>
        <v>1</v>
      </c>
      <c r="F66" s="82">
        <f>649.74*1.03</f>
        <v>669.23</v>
      </c>
      <c r="G66" s="93">
        <f t="shared" si="2"/>
        <v>669.23</v>
      </c>
    </row>
    <row r="67" spans="1:7" ht="53.25" customHeight="1">
      <c r="A67" s="51" t="s">
        <v>286</v>
      </c>
      <c r="B67" s="83" t="s">
        <v>285</v>
      </c>
      <c r="C67" s="29" t="s">
        <v>293</v>
      </c>
      <c r="D67" s="92" t="s">
        <v>40</v>
      </c>
      <c r="E67" s="82">
        <f>'Memoria de Calculo'!E277</f>
        <v>1</v>
      </c>
      <c r="F67" s="82">
        <f>434.16*1.03</f>
        <v>447.18</v>
      </c>
      <c r="G67" s="93">
        <f t="shared" si="2"/>
        <v>447.18</v>
      </c>
    </row>
    <row r="68" spans="1:7" ht="19.5" customHeight="1">
      <c r="A68" s="32"/>
      <c r="B68" s="27">
        <v>10</v>
      </c>
      <c r="C68" s="103" t="s">
        <v>247</v>
      </c>
      <c r="D68" s="104"/>
      <c r="E68" s="104"/>
      <c r="F68" s="104"/>
      <c r="G68" s="106">
        <f>SUM(G69:G70)</f>
        <v>3061.78</v>
      </c>
    </row>
    <row r="69" spans="1:7" ht="68.25" customHeight="1">
      <c r="A69" s="51" t="s">
        <v>180</v>
      </c>
      <c r="B69" s="83" t="s">
        <v>55</v>
      </c>
      <c r="C69" s="118" t="s">
        <v>248</v>
      </c>
      <c r="D69" s="92" t="s">
        <v>52</v>
      </c>
      <c r="E69" s="82">
        <f>'Memoria de Calculo'!E281</f>
        <v>2</v>
      </c>
      <c r="F69" s="82">
        <v>1046.02</v>
      </c>
      <c r="G69" s="93">
        <f>F69*E69</f>
        <v>2092.04</v>
      </c>
    </row>
    <row r="70" spans="1:7" ht="69.75" customHeight="1">
      <c r="A70" s="51" t="s">
        <v>76</v>
      </c>
      <c r="B70" s="83" t="s">
        <v>56</v>
      </c>
      <c r="C70" s="118" t="s">
        <v>249</v>
      </c>
      <c r="D70" s="92" t="s">
        <v>52</v>
      </c>
      <c r="E70" s="82">
        <f>'Memoria de Calculo'!E284</f>
        <v>2</v>
      </c>
      <c r="F70" s="82">
        <v>484.87</v>
      </c>
      <c r="G70" s="93">
        <f>F70*E70</f>
        <v>969.74</v>
      </c>
    </row>
    <row r="71" spans="1:7" ht="19.5" customHeight="1">
      <c r="A71" s="32"/>
      <c r="B71" s="27">
        <v>11</v>
      </c>
      <c r="C71" s="103" t="s">
        <v>72</v>
      </c>
      <c r="D71" s="104"/>
      <c r="E71" s="104"/>
      <c r="F71" s="104"/>
      <c r="G71" s="106">
        <f>SUM(G74:G79)</f>
        <v>61170.51</v>
      </c>
    </row>
    <row r="72" spans="1:7" ht="15" hidden="1">
      <c r="A72" s="91"/>
      <c r="B72" s="91" t="s">
        <v>74</v>
      </c>
      <c r="C72" s="29"/>
      <c r="D72" s="91"/>
      <c r="E72" s="82"/>
      <c r="F72" s="82"/>
      <c r="G72" s="93"/>
    </row>
    <row r="73" spans="1:7" ht="15" hidden="1">
      <c r="A73" s="91"/>
      <c r="B73" s="91" t="s">
        <v>84</v>
      </c>
      <c r="C73" s="29"/>
      <c r="D73" s="91"/>
      <c r="E73" s="82"/>
      <c r="F73" s="82"/>
      <c r="G73" s="93"/>
    </row>
    <row r="74" spans="1:7" ht="30">
      <c r="A74" s="51" t="s">
        <v>230</v>
      </c>
      <c r="B74" s="91" t="s">
        <v>73</v>
      </c>
      <c r="C74" s="29" t="s">
        <v>229</v>
      </c>
      <c r="D74" s="91" t="s">
        <v>40</v>
      </c>
      <c r="E74" s="82">
        <f>'Memoria de Calculo'!E296</f>
        <v>139</v>
      </c>
      <c r="F74" s="82">
        <v>209.51</v>
      </c>
      <c r="G74" s="93">
        <f>F74*E74</f>
        <v>29121.89</v>
      </c>
    </row>
    <row r="75" spans="1:7" ht="45">
      <c r="A75" s="51" t="s">
        <v>287</v>
      </c>
      <c r="B75" s="141" t="s">
        <v>250</v>
      </c>
      <c r="C75" s="29" t="s">
        <v>294</v>
      </c>
      <c r="D75" s="91" t="s">
        <v>40</v>
      </c>
      <c r="E75" s="82">
        <f>'Memoria de Calculo'!E307</f>
        <v>139</v>
      </c>
      <c r="F75" s="82">
        <f>154.84*1.03</f>
        <v>159.49</v>
      </c>
      <c r="G75" s="93">
        <f>F75*E75</f>
        <v>22169.11</v>
      </c>
    </row>
    <row r="76" spans="1:7" ht="19.5" customHeight="1">
      <c r="A76" s="32"/>
      <c r="B76" s="27" t="s">
        <v>73</v>
      </c>
      <c r="C76" s="145" t="s">
        <v>257</v>
      </c>
      <c r="D76" s="146"/>
      <c r="E76" s="146"/>
      <c r="F76" s="104"/>
      <c r="G76" s="105"/>
    </row>
    <row r="77" spans="1:7" ht="30">
      <c r="A77" s="51" t="s">
        <v>391</v>
      </c>
      <c r="B77" s="83" t="s">
        <v>256</v>
      </c>
      <c r="C77" s="29" t="s">
        <v>408</v>
      </c>
      <c r="D77" s="92" t="s">
        <v>19</v>
      </c>
      <c r="E77" s="82">
        <f>'Memoria de Calculo'!E318</f>
        <v>70.44</v>
      </c>
      <c r="F77" s="82">
        <v>76.98</v>
      </c>
      <c r="G77" s="93">
        <f>F77*E77</f>
        <v>5422.47</v>
      </c>
    </row>
    <row r="78" spans="1:7" ht="36" customHeight="1">
      <c r="A78" s="51" t="s">
        <v>393</v>
      </c>
      <c r="B78" s="83" t="s">
        <v>260</v>
      </c>
      <c r="C78" s="29" t="s">
        <v>392</v>
      </c>
      <c r="D78" s="92" t="s">
        <v>19</v>
      </c>
      <c r="E78" s="82">
        <f>'Memoria de Calculo'!E323</f>
        <v>68.13</v>
      </c>
      <c r="F78" s="82">
        <v>33.67</v>
      </c>
      <c r="G78" s="93">
        <f>F78*E78</f>
        <v>2293.94</v>
      </c>
    </row>
    <row r="79" spans="1:7" ht="60.75" customHeight="1">
      <c r="A79" s="51" t="s">
        <v>388</v>
      </c>
      <c r="B79" s="83" t="s">
        <v>261</v>
      </c>
      <c r="C79" s="29" t="s">
        <v>387</v>
      </c>
      <c r="D79" s="91" t="s">
        <v>0</v>
      </c>
      <c r="E79" s="82">
        <f>'Memoria de Calculo'!E332</f>
        <v>293.5</v>
      </c>
      <c r="F79" s="82">
        <v>7.37</v>
      </c>
      <c r="G79" s="93">
        <f>F79*E79</f>
        <v>2163.1</v>
      </c>
    </row>
    <row r="80" spans="1:7" ht="19.5" customHeight="1">
      <c r="A80" s="32"/>
      <c r="B80" s="27">
        <v>12</v>
      </c>
      <c r="C80" s="103" t="s">
        <v>88</v>
      </c>
      <c r="D80" s="104"/>
      <c r="E80" s="104"/>
      <c r="F80" s="104"/>
      <c r="G80" s="106">
        <f>G81</f>
        <v>2617.59</v>
      </c>
    </row>
    <row r="81" spans="1:7" ht="54" customHeight="1">
      <c r="A81" s="51" t="s">
        <v>87</v>
      </c>
      <c r="B81" s="91" t="s">
        <v>251</v>
      </c>
      <c r="C81" s="29" t="s">
        <v>231</v>
      </c>
      <c r="D81" s="91" t="s">
        <v>40</v>
      </c>
      <c r="E81" s="82">
        <f>'Memoria de Calculo'!E342</f>
        <v>1</v>
      </c>
      <c r="F81" s="82">
        <v>2617.59</v>
      </c>
      <c r="G81" s="93">
        <f>F81*E81</f>
        <v>2617.59</v>
      </c>
    </row>
    <row r="82" spans="1:7" ht="30" customHeight="1">
      <c r="A82" s="150" t="s">
        <v>376</v>
      </c>
      <c r="B82" s="151"/>
      <c r="C82" s="151"/>
      <c r="D82" s="151"/>
      <c r="E82" s="151"/>
      <c r="F82" s="151"/>
      <c r="G82" s="115">
        <f>G12+G22+G41+G59</f>
        <v>1823292.03</v>
      </c>
    </row>
    <row r="83" spans="1:7" ht="15.75" customHeight="1">
      <c r="A83" s="52"/>
      <c r="B83" s="52"/>
      <c r="C83" s="52"/>
      <c r="D83" s="52"/>
      <c r="E83" s="52"/>
      <c r="F83" s="52"/>
      <c r="G83" s="52"/>
    </row>
    <row r="84" spans="1:7" ht="15.75">
      <c r="A84" s="53"/>
      <c r="B84" s="8"/>
      <c r="C84" s="35"/>
      <c r="D84" s="35"/>
      <c r="E84" s="35"/>
      <c r="F84" s="34"/>
      <c r="G84" s="34"/>
    </row>
    <row r="85" spans="1:7" ht="15">
      <c r="A85" s="53"/>
      <c r="B85" s="8"/>
      <c r="C85" s="159" t="s">
        <v>419</v>
      </c>
      <c r="D85" s="159"/>
      <c r="E85" s="159"/>
      <c r="F85" s="34"/>
      <c r="G85" s="34"/>
    </row>
    <row r="86" spans="1:7" ht="15">
      <c r="A86" s="53"/>
      <c r="B86" s="8"/>
      <c r="C86" s="159"/>
      <c r="D86" s="159"/>
      <c r="E86" s="159"/>
      <c r="F86" s="34"/>
      <c r="G86" s="34"/>
    </row>
    <row r="87" ht="15">
      <c r="B87" s="7"/>
    </row>
    <row r="88" ht="15">
      <c r="B88" s="7"/>
    </row>
    <row r="89" spans="1:7" ht="74.25" customHeight="1">
      <c r="A89" s="158" t="s">
        <v>372</v>
      </c>
      <c r="B89" s="158"/>
      <c r="C89" s="158"/>
      <c r="D89" s="158"/>
      <c r="E89" s="158"/>
      <c r="F89" s="158"/>
      <c r="G89" s="158"/>
    </row>
  </sheetData>
  <sheetProtection/>
  <mergeCells count="18">
    <mergeCell ref="A89:G89"/>
    <mergeCell ref="C86:E86"/>
    <mergeCell ref="C85:E85"/>
    <mergeCell ref="A1:G5"/>
    <mergeCell ref="A7:G7"/>
    <mergeCell ref="A8:G8"/>
    <mergeCell ref="A9:G9"/>
    <mergeCell ref="A10:A11"/>
    <mergeCell ref="B10:B11"/>
    <mergeCell ref="C10:C11"/>
    <mergeCell ref="D10:G10"/>
    <mergeCell ref="C57:E57"/>
    <mergeCell ref="A60:G60"/>
    <mergeCell ref="C76:E76"/>
    <mergeCell ref="A82:F82"/>
    <mergeCell ref="F6:G6"/>
    <mergeCell ref="A6:E6"/>
    <mergeCell ref="A42:G42"/>
  </mergeCells>
  <printOptions horizontalCentered="1"/>
  <pageMargins left="0.5905511811023623" right="0.3937007874015748" top="1.968503937007874" bottom="1.1811023622047245" header="0" footer="0"/>
  <pageSetup horizontalDpi="600" verticalDpi="600" orientation="portrait" paperSize="9" scale="65" r:id="rId2"/>
  <headerFooter scaleWithDoc="0">
    <oddHeader>&amp;L&amp;G</oddHeader>
    <oddFooter>&amp;CPágina 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zoomScale="75" zoomScaleNormal="75" zoomScaleSheetLayoutView="75" zoomScalePageLayoutView="0" workbookViewId="0" topLeftCell="A1">
      <selection activeCell="B34" sqref="B34"/>
    </sheetView>
  </sheetViews>
  <sheetFormatPr defaultColWidth="12.57421875" defaultRowHeight="12.75"/>
  <cols>
    <col min="1" max="1" width="7.00390625" style="5" customWidth="1"/>
    <col min="2" max="2" width="32.8515625" style="5" customWidth="1"/>
    <col min="3" max="3" width="16.00390625" style="15" customWidth="1"/>
    <col min="4" max="4" width="9.57421875" style="5" customWidth="1"/>
    <col min="5" max="6" width="9.00390625" style="5" customWidth="1"/>
    <col min="7" max="7" width="13.140625" style="5" bestFit="1" customWidth="1"/>
    <col min="8" max="8" width="14.8515625" style="5" bestFit="1" customWidth="1"/>
    <col min="9" max="9" width="14.140625" style="5" customWidth="1"/>
    <col min="10" max="10" width="14.7109375" style="5" bestFit="1" customWidth="1"/>
    <col min="11" max="11" width="14.00390625" style="5" bestFit="1" customWidth="1"/>
    <col min="12" max="13" width="14.7109375" style="5" customWidth="1"/>
    <col min="14" max="14" width="14.8515625" style="5" bestFit="1" customWidth="1"/>
    <col min="15" max="15" width="14.7109375" style="5" bestFit="1" customWidth="1"/>
    <col min="16" max="16" width="15.7109375" style="5" customWidth="1"/>
    <col min="17" max="16384" width="12.57421875" style="5" customWidth="1"/>
  </cols>
  <sheetData>
    <row r="1" spans="1:16" ht="96.75" customHeight="1">
      <c r="A1" s="180" t="s">
        <v>328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2"/>
    </row>
    <row r="2" spans="1:16" ht="24" customHeight="1">
      <c r="A2" s="183" t="s">
        <v>302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27.75" customHeight="1">
      <c r="A3" s="184" t="s">
        <v>6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</row>
    <row r="4" spans="1:16" ht="15.75" customHeight="1">
      <c r="A4" s="188" t="s">
        <v>7</v>
      </c>
      <c r="B4" s="187" t="s">
        <v>12</v>
      </c>
      <c r="C4" s="187" t="s">
        <v>13</v>
      </c>
      <c r="D4" s="87"/>
      <c r="E4" s="87"/>
      <c r="F4" s="87"/>
      <c r="G4" s="187" t="s">
        <v>31</v>
      </c>
      <c r="H4" s="187"/>
      <c r="I4" s="187"/>
      <c r="J4" s="187"/>
      <c r="K4" s="187"/>
      <c r="L4" s="187"/>
      <c r="M4" s="187"/>
      <c r="N4" s="187"/>
      <c r="O4" s="187"/>
      <c r="P4" s="187"/>
    </row>
    <row r="5" spans="1:16" ht="38.25" customHeight="1">
      <c r="A5" s="188"/>
      <c r="B5" s="187"/>
      <c r="C5" s="187"/>
      <c r="D5" s="11" t="s">
        <v>14</v>
      </c>
      <c r="E5" s="11" t="s">
        <v>15</v>
      </c>
      <c r="F5" s="11" t="s">
        <v>16</v>
      </c>
      <c r="G5" s="11" t="s">
        <v>24</v>
      </c>
      <c r="H5" s="11" t="s">
        <v>107</v>
      </c>
      <c r="I5" s="11" t="s">
        <v>108</v>
      </c>
      <c r="J5" s="11" t="s">
        <v>109</v>
      </c>
      <c r="K5" s="11" t="s">
        <v>110</v>
      </c>
      <c r="L5" s="11" t="s">
        <v>111</v>
      </c>
      <c r="M5" s="11" t="s">
        <v>112</v>
      </c>
      <c r="N5" s="11" t="s">
        <v>374</v>
      </c>
      <c r="O5" s="11" t="s">
        <v>375</v>
      </c>
      <c r="P5" s="11" t="s">
        <v>113</v>
      </c>
    </row>
    <row r="6" spans="1:16" ht="15">
      <c r="A6" s="178">
        <v>1</v>
      </c>
      <c r="B6" s="179" t="s">
        <v>8</v>
      </c>
      <c r="C6" s="12">
        <f>'Planilha Orçamentaria'!G13</f>
        <v>47282.13</v>
      </c>
      <c r="D6" s="191" t="s">
        <v>373</v>
      </c>
      <c r="E6" s="192"/>
      <c r="F6" s="193"/>
      <c r="G6" s="10">
        <f>C6*0.45</f>
        <v>21276.96</v>
      </c>
      <c r="H6" s="10">
        <f>C6*0.1</f>
        <v>4728.21</v>
      </c>
      <c r="I6" s="10">
        <f>C6*0.05</f>
        <v>2364.11</v>
      </c>
      <c r="J6" s="10">
        <f>C6*0.1</f>
        <v>4728.21</v>
      </c>
      <c r="K6" s="10">
        <f>C6*0.1</f>
        <v>4728.21</v>
      </c>
      <c r="L6" s="10">
        <f>C6*0.05</f>
        <v>2364.11</v>
      </c>
      <c r="M6" s="10">
        <f>C6*0.05</f>
        <v>2364.11</v>
      </c>
      <c r="N6" s="10">
        <f>C6*0.05</f>
        <v>2364.11</v>
      </c>
      <c r="O6" s="10">
        <f>C6*0.05</f>
        <v>2364.11</v>
      </c>
      <c r="P6" s="10">
        <f>SUM(G6:O6)</f>
        <v>47282.14</v>
      </c>
    </row>
    <row r="7" spans="1:16" ht="15.75">
      <c r="A7" s="178"/>
      <c r="B7" s="179"/>
      <c r="C7" s="39">
        <f>C6/C31</f>
        <v>0.0259</v>
      </c>
      <c r="D7" s="194"/>
      <c r="E7" s="195"/>
      <c r="F7" s="196"/>
      <c r="G7" s="40">
        <f>G6/C6</f>
        <v>0.45</v>
      </c>
      <c r="H7" s="40">
        <f>H6/C6</f>
        <v>0.1</v>
      </c>
      <c r="I7" s="40">
        <f>I6/C6</f>
        <v>0.05</v>
      </c>
      <c r="J7" s="40">
        <f>J6/C6</f>
        <v>0.1</v>
      </c>
      <c r="K7" s="40">
        <f>K6/C6</f>
        <v>0.1</v>
      </c>
      <c r="L7" s="40">
        <f>L6/C6</f>
        <v>0.05</v>
      </c>
      <c r="M7" s="40">
        <f>M6/C6</f>
        <v>0.05</v>
      </c>
      <c r="N7" s="40">
        <f>N6/C6</f>
        <v>0.05</v>
      </c>
      <c r="O7" s="40">
        <f>O6/C6</f>
        <v>0.05</v>
      </c>
      <c r="P7" s="40">
        <f>SUM(G7:O7)</f>
        <v>1</v>
      </c>
    </row>
    <row r="8" spans="1:16" ht="15">
      <c r="A8" s="178">
        <v>2</v>
      </c>
      <c r="B8" s="179" t="s">
        <v>406</v>
      </c>
      <c r="C8" s="19">
        <v>0</v>
      </c>
      <c r="D8" s="41"/>
      <c r="E8" s="41"/>
      <c r="F8" s="41"/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f>SUM(G8:O8)</f>
        <v>0</v>
      </c>
    </row>
    <row r="9" spans="1:16" ht="15.75">
      <c r="A9" s="178"/>
      <c r="B9" s="179"/>
      <c r="C9" s="39">
        <f>C8/C31</f>
        <v>0</v>
      </c>
      <c r="D9" s="40"/>
      <c r="E9" s="40"/>
      <c r="F9" s="40"/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f>G9+H9+I9+J9+K9+L9+M9+N9</f>
        <v>0</v>
      </c>
    </row>
    <row r="10" spans="1:16" ht="15">
      <c r="A10" s="178">
        <v>3</v>
      </c>
      <c r="B10" s="179" t="s">
        <v>25</v>
      </c>
      <c r="C10" s="19">
        <f>'Planilha Orçamentaria'!G27</f>
        <v>981598.07</v>
      </c>
      <c r="D10" s="41"/>
      <c r="E10" s="41"/>
      <c r="F10" s="41"/>
      <c r="G10" s="41"/>
      <c r="H10" s="41"/>
      <c r="I10" s="41"/>
      <c r="J10" s="41">
        <f>C10*0.1</f>
        <v>98159.81</v>
      </c>
      <c r="K10" s="41">
        <f>C10*0.15</f>
        <v>147239.71</v>
      </c>
      <c r="L10" s="41">
        <f>C10*0.15</f>
        <v>147239.71</v>
      </c>
      <c r="M10" s="41">
        <f>C10*0.2</f>
        <v>196319.61</v>
      </c>
      <c r="N10" s="41">
        <f>C10*0.2</f>
        <v>196319.61</v>
      </c>
      <c r="O10" s="41">
        <f>C10*0.2</f>
        <v>196319.61</v>
      </c>
      <c r="P10" s="41">
        <f>SUM(J10:O10)</f>
        <v>981598.06</v>
      </c>
    </row>
    <row r="11" spans="1:16" ht="15.75">
      <c r="A11" s="178"/>
      <c r="B11" s="179"/>
      <c r="C11" s="39">
        <f>C10/C31</f>
        <v>0.5384</v>
      </c>
      <c r="D11" s="40"/>
      <c r="E11" s="40"/>
      <c r="F11" s="40"/>
      <c r="G11" s="40"/>
      <c r="H11" s="40"/>
      <c r="I11" s="40"/>
      <c r="J11" s="40">
        <f>J10/C10</f>
        <v>0.1</v>
      </c>
      <c r="K11" s="40">
        <f>K10/C10</f>
        <v>0.15</v>
      </c>
      <c r="L11" s="40">
        <f>L10/C10</f>
        <v>0.15</v>
      </c>
      <c r="M11" s="40">
        <f>M10/C10</f>
        <v>0.2</v>
      </c>
      <c r="N11" s="40">
        <f>N10/C10</f>
        <v>0.2</v>
      </c>
      <c r="O11" s="40">
        <f>O10/C10</f>
        <v>0.2</v>
      </c>
      <c r="P11" s="40">
        <f>SUM(J11:O11)</f>
        <v>1</v>
      </c>
    </row>
    <row r="12" spans="1:16" ht="15">
      <c r="A12" s="178">
        <v>4</v>
      </c>
      <c r="B12" s="179" t="s">
        <v>103</v>
      </c>
      <c r="C12" s="19">
        <f>'Planilha Orçamentaria'!G32</f>
        <v>204975.34</v>
      </c>
      <c r="D12" s="41"/>
      <c r="E12" s="41"/>
      <c r="F12" s="41"/>
      <c r="G12" s="41">
        <f>C12*0.15</f>
        <v>30746.3</v>
      </c>
      <c r="H12" s="41">
        <f>C12*0.25</f>
        <v>51243.84</v>
      </c>
      <c r="I12" s="41">
        <f>C12*0.2</f>
        <v>40995.07</v>
      </c>
      <c r="J12" s="41">
        <f>C12*0.2</f>
        <v>40995.07</v>
      </c>
      <c r="K12" s="41">
        <f>C12*0.15</f>
        <v>30746.3</v>
      </c>
      <c r="L12" s="41">
        <f>C12*0.05</f>
        <v>10248.77</v>
      </c>
      <c r="M12" s="41"/>
      <c r="N12" s="41"/>
      <c r="O12" s="41"/>
      <c r="P12" s="41">
        <f>SUM(G12:L12)</f>
        <v>204975.35</v>
      </c>
    </row>
    <row r="13" spans="1:16" ht="15.75">
      <c r="A13" s="178"/>
      <c r="B13" s="179"/>
      <c r="C13" s="39">
        <f>C12/C31</f>
        <v>0.1124</v>
      </c>
      <c r="D13" s="40"/>
      <c r="E13" s="40"/>
      <c r="F13" s="40"/>
      <c r="G13" s="40">
        <f>G12/C12</f>
        <v>0.15</v>
      </c>
      <c r="H13" s="40">
        <f>H12/C12</f>
        <v>0.25</v>
      </c>
      <c r="I13" s="40">
        <f>I12/C12</f>
        <v>0.2</v>
      </c>
      <c r="J13" s="40">
        <f>J12/C12</f>
        <v>0.2</v>
      </c>
      <c r="K13" s="40">
        <f>K12/C12</f>
        <v>0.15</v>
      </c>
      <c r="L13" s="40">
        <f>L12/C12</f>
        <v>0.05</v>
      </c>
      <c r="M13" s="40"/>
      <c r="N13" s="40"/>
      <c r="O13" s="40"/>
      <c r="P13" s="40">
        <f>SUM(G13:L13)</f>
        <v>1</v>
      </c>
    </row>
    <row r="14" spans="1:16" ht="15">
      <c r="A14" s="178">
        <v>5</v>
      </c>
      <c r="B14" s="179" t="s">
        <v>104</v>
      </c>
      <c r="C14" s="12">
        <f>'Planilha Orçamentaria'!G43</f>
        <v>75484.64</v>
      </c>
      <c r="D14" s="10"/>
      <c r="E14" s="10"/>
      <c r="F14" s="10"/>
      <c r="G14" s="10">
        <f>C14*0.2</f>
        <v>15096.93</v>
      </c>
      <c r="H14" s="10">
        <f>C14*0.2</f>
        <v>15096.93</v>
      </c>
      <c r="I14" s="10">
        <f>C14*0.2</f>
        <v>15096.93</v>
      </c>
      <c r="J14" s="10">
        <f>C14*0.2</f>
        <v>15096.93</v>
      </c>
      <c r="K14" s="10">
        <f>C14*0.2</f>
        <v>15096.93</v>
      </c>
      <c r="L14" s="10"/>
      <c r="M14" s="10"/>
      <c r="N14" s="10"/>
      <c r="O14" s="10"/>
      <c r="P14" s="10">
        <f>SUM(G14:K14)</f>
        <v>75484.65</v>
      </c>
    </row>
    <row r="15" spans="1:16" ht="15.75">
      <c r="A15" s="178"/>
      <c r="B15" s="179"/>
      <c r="C15" s="39">
        <f>C14/C31</f>
        <v>0.0414</v>
      </c>
      <c r="D15" s="40"/>
      <c r="E15" s="40"/>
      <c r="F15" s="40"/>
      <c r="G15" s="40">
        <f>G14/C14</f>
        <v>0.2</v>
      </c>
      <c r="H15" s="40">
        <f>H14/C14</f>
        <v>0.2</v>
      </c>
      <c r="I15" s="40">
        <f>I14/C14</f>
        <v>0.2</v>
      </c>
      <c r="J15" s="40">
        <f>J14/C14</f>
        <v>0.2</v>
      </c>
      <c r="K15" s="40">
        <f>K14/C14</f>
        <v>0.2</v>
      </c>
      <c r="L15" s="40"/>
      <c r="M15" s="40"/>
      <c r="N15" s="40"/>
      <c r="O15" s="40"/>
      <c r="P15" s="40">
        <f>SUM(G15:K15)</f>
        <v>1</v>
      </c>
    </row>
    <row r="16" spans="1:16" ht="15">
      <c r="A16" s="178">
        <v>6</v>
      </c>
      <c r="B16" s="179" t="s">
        <v>105</v>
      </c>
      <c r="C16" s="19">
        <f>'Planilha Orçamentaria'!G48</f>
        <v>100840.24</v>
      </c>
      <c r="D16" s="41"/>
      <c r="E16" s="41"/>
      <c r="F16" s="41"/>
      <c r="G16" s="41">
        <f>C16*0.2</f>
        <v>20168.05</v>
      </c>
      <c r="H16" s="41">
        <f>C16*0.2</f>
        <v>20168.05</v>
      </c>
      <c r="I16" s="41">
        <f>C16*0.2</f>
        <v>20168.05</v>
      </c>
      <c r="J16" s="41">
        <f>C16*0.2</f>
        <v>20168.05</v>
      </c>
      <c r="K16" s="41">
        <f>C16*0.2</f>
        <v>20168.05</v>
      </c>
      <c r="L16" s="41"/>
      <c r="M16" s="41"/>
      <c r="N16" s="41"/>
      <c r="O16" s="41"/>
      <c r="P16" s="41">
        <f>SUM(G16:K16)</f>
        <v>100840.25</v>
      </c>
    </row>
    <row r="17" spans="1:16" ht="15.75">
      <c r="A17" s="178"/>
      <c r="B17" s="179"/>
      <c r="C17" s="39">
        <f>C16/C31</f>
        <v>0.0553</v>
      </c>
      <c r="D17" s="40"/>
      <c r="E17" s="40"/>
      <c r="F17" s="40"/>
      <c r="G17" s="40">
        <f>G16/C16</f>
        <v>0.2</v>
      </c>
      <c r="H17" s="40">
        <f>H16/C16</f>
        <v>0.2</v>
      </c>
      <c r="I17" s="40">
        <f>I16/C16</f>
        <v>0.2</v>
      </c>
      <c r="J17" s="40">
        <f>J16/C16</f>
        <v>0.2</v>
      </c>
      <c r="K17" s="40">
        <f>K16/C16</f>
        <v>0.2</v>
      </c>
      <c r="L17" s="40"/>
      <c r="M17" s="40"/>
      <c r="N17" s="40"/>
      <c r="O17" s="40"/>
      <c r="P17" s="40">
        <f>SUM(G17:K17)</f>
        <v>1</v>
      </c>
    </row>
    <row r="18" spans="1:16" ht="15">
      <c r="A18" s="178">
        <v>7</v>
      </c>
      <c r="B18" s="179" t="s">
        <v>106</v>
      </c>
      <c r="C18" s="19">
        <f>'Planilha Orçamentaria'!G50</f>
        <v>45926.7</v>
      </c>
      <c r="D18" s="41"/>
      <c r="E18" s="41"/>
      <c r="F18" s="41"/>
      <c r="G18" s="41"/>
      <c r="H18" s="41"/>
      <c r="I18" s="41">
        <f>C18*0.15</f>
        <v>6889.01</v>
      </c>
      <c r="J18" s="41">
        <f>C18*0.25</f>
        <v>11481.68</v>
      </c>
      <c r="K18" s="41">
        <f>C18*0.25</f>
        <v>11481.68</v>
      </c>
      <c r="L18" s="41">
        <f>C18*0.2</f>
        <v>9185.34</v>
      </c>
      <c r="M18" s="41">
        <f>C18*0.15</f>
        <v>6889.01</v>
      </c>
      <c r="N18" s="41"/>
      <c r="O18" s="41"/>
      <c r="P18" s="41">
        <f>SUM(I18:M18)</f>
        <v>45926.72</v>
      </c>
    </row>
    <row r="19" spans="1:16" ht="15.75">
      <c r="A19" s="178"/>
      <c r="B19" s="179"/>
      <c r="C19" s="39">
        <f>C18/C31</f>
        <v>0.0252</v>
      </c>
      <c r="D19" s="40"/>
      <c r="E19" s="40"/>
      <c r="F19" s="40"/>
      <c r="G19" s="40"/>
      <c r="H19" s="40"/>
      <c r="I19" s="40">
        <f>I18/C18</f>
        <v>0.15</v>
      </c>
      <c r="J19" s="40">
        <f>J18/C18</f>
        <v>0.25</v>
      </c>
      <c r="K19" s="40">
        <f>K18/C18</f>
        <v>0.25</v>
      </c>
      <c r="L19" s="40">
        <f>L18/C18</f>
        <v>0.2</v>
      </c>
      <c r="M19" s="40">
        <f>M18/C18</f>
        <v>0.15</v>
      </c>
      <c r="N19" s="40"/>
      <c r="O19" s="40"/>
      <c r="P19" s="40">
        <f>SUM(I19:M19)</f>
        <v>1</v>
      </c>
    </row>
    <row r="20" spans="1:16" ht="15">
      <c r="A20" s="178">
        <v>8</v>
      </c>
      <c r="B20" s="179" t="s">
        <v>54</v>
      </c>
      <c r="C20" s="19">
        <f>'Planilha Orçamentaria'!G53</f>
        <v>201183.66</v>
      </c>
      <c r="D20" s="41"/>
      <c r="E20" s="41"/>
      <c r="F20" s="41"/>
      <c r="G20" s="41"/>
      <c r="H20" s="41"/>
      <c r="I20" s="41">
        <f>C20*0.2</f>
        <v>40236.73</v>
      </c>
      <c r="J20" s="41">
        <f>C20*0.2</f>
        <v>40236.73</v>
      </c>
      <c r="K20" s="41">
        <f>C20*0.2</f>
        <v>40236.73</v>
      </c>
      <c r="L20" s="41">
        <f>C20*0.2</f>
        <v>40236.73</v>
      </c>
      <c r="M20" s="41">
        <f>C20*0.2</f>
        <v>40236.73</v>
      </c>
      <c r="N20" s="41"/>
      <c r="O20" s="41"/>
      <c r="P20" s="41">
        <f>SUM(I20:M20)</f>
        <v>201183.65</v>
      </c>
    </row>
    <row r="21" spans="1:16" ht="15.75">
      <c r="A21" s="178"/>
      <c r="B21" s="179"/>
      <c r="C21" s="39">
        <f>C20/C31+0.0001</f>
        <v>0.1104</v>
      </c>
      <c r="D21" s="40"/>
      <c r="E21" s="40"/>
      <c r="F21" s="40"/>
      <c r="G21" s="40"/>
      <c r="H21" s="40"/>
      <c r="I21" s="40">
        <f>I20/C20</f>
        <v>0.2</v>
      </c>
      <c r="J21" s="40">
        <f>J20/C20</f>
        <v>0.2</v>
      </c>
      <c r="K21" s="40">
        <f>K20/C20</f>
        <v>0.2</v>
      </c>
      <c r="L21" s="40">
        <f>L20/C20</f>
        <v>0.2</v>
      </c>
      <c r="M21" s="40">
        <f>M20/C20</f>
        <v>0.2</v>
      </c>
      <c r="N21" s="40"/>
      <c r="O21" s="40"/>
      <c r="P21" s="40">
        <f>SUM(I21:M21)</f>
        <v>1</v>
      </c>
    </row>
    <row r="22" spans="1:16" ht="15">
      <c r="A22" s="178">
        <v>9</v>
      </c>
      <c r="B22" s="179" t="s">
        <v>325</v>
      </c>
      <c r="C22" s="19">
        <f>'Planilha Orçamentaria'!G61</f>
        <v>99151.37</v>
      </c>
      <c r="D22" s="41"/>
      <c r="E22" s="41"/>
      <c r="F22" s="41"/>
      <c r="G22" s="41"/>
      <c r="H22" s="41"/>
      <c r="I22" s="41"/>
      <c r="J22" s="41">
        <f>C22*0.25</f>
        <v>24787.84</v>
      </c>
      <c r="K22" s="41">
        <f>C22*0.35</f>
        <v>34702.98</v>
      </c>
      <c r="L22" s="41">
        <f>C22*0.4</f>
        <v>39660.55</v>
      </c>
      <c r="M22" s="41"/>
      <c r="N22" s="41"/>
      <c r="O22" s="41"/>
      <c r="P22" s="41">
        <f>SUM(J22:L22)</f>
        <v>99151.37</v>
      </c>
    </row>
    <row r="23" spans="1:16" ht="15.75">
      <c r="A23" s="178"/>
      <c r="B23" s="179"/>
      <c r="C23" s="39">
        <f>C22/C31</f>
        <v>0.0544</v>
      </c>
      <c r="D23" s="40"/>
      <c r="E23" s="40"/>
      <c r="F23" s="40"/>
      <c r="G23" s="40"/>
      <c r="H23" s="40"/>
      <c r="I23" s="40"/>
      <c r="J23" s="40">
        <f>J22/C22</f>
        <v>0.25</v>
      </c>
      <c r="K23" s="40">
        <f>K22/C22</f>
        <v>0.35</v>
      </c>
      <c r="L23" s="40">
        <f>L22/C22</f>
        <v>0.4</v>
      </c>
      <c r="M23" s="40"/>
      <c r="N23" s="40"/>
      <c r="O23" s="40"/>
      <c r="P23" s="40">
        <f>SUM(J23:L23)</f>
        <v>1</v>
      </c>
    </row>
    <row r="24" spans="1:16" ht="15" customHeight="1">
      <c r="A24" s="178">
        <v>10</v>
      </c>
      <c r="B24" s="179" t="s">
        <v>252</v>
      </c>
      <c r="C24" s="19">
        <f>'Planilha Orçamentaria'!G68</f>
        <v>3061.78</v>
      </c>
      <c r="D24" s="41"/>
      <c r="E24" s="41"/>
      <c r="F24" s="41"/>
      <c r="G24" s="41"/>
      <c r="H24" s="41"/>
      <c r="I24" s="41"/>
      <c r="J24" s="41">
        <f>C24*0.25</f>
        <v>765.45</v>
      </c>
      <c r="K24" s="41">
        <f>C24*0.35</f>
        <v>1071.62</v>
      </c>
      <c r="L24" s="41">
        <f>C24*0.4</f>
        <v>1224.71</v>
      </c>
      <c r="M24" s="41"/>
      <c r="N24" s="41"/>
      <c r="O24" s="41"/>
      <c r="P24" s="41">
        <f>SUM(J24:L24)</f>
        <v>3061.78</v>
      </c>
    </row>
    <row r="25" spans="1:16" ht="15.75">
      <c r="A25" s="178"/>
      <c r="B25" s="179"/>
      <c r="C25" s="39">
        <f>C24/C31</f>
        <v>0.0017</v>
      </c>
      <c r="D25" s="40"/>
      <c r="E25" s="40"/>
      <c r="F25" s="40"/>
      <c r="G25" s="40"/>
      <c r="H25" s="40"/>
      <c r="I25" s="40"/>
      <c r="J25" s="40">
        <f>J24/C24</f>
        <v>0.25</v>
      </c>
      <c r="K25" s="40">
        <f>K24/C24</f>
        <v>0.35</v>
      </c>
      <c r="L25" s="40">
        <f>L24/C24</f>
        <v>0.4</v>
      </c>
      <c r="M25" s="40"/>
      <c r="N25" s="40"/>
      <c r="O25" s="40"/>
      <c r="P25" s="40">
        <f>SUM(J25:L25)</f>
        <v>1</v>
      </c>
    </row>
    <row r="26" spans="1:16" ht="15">
      <c r="A26" s="178">
        <v>11</v>
      </c>
      <c r="B26" s="179" t="s">
        <v>72</v>
      </c>
      <c r="C26" s="19">
        <f>'Planilha Orçamentaria'!G71</f>
        <v>61170.51</v>
      </c>
      <c r="D26" s="41"/>
      <c r="E26" s="41"/>
      <c r="F26" s="41"/>
      <c r="G26" s="41"/>
      <c r="H26" s="41"/>
      <c r="I26" s="41"/>
      <c r="J26" s="41">
        <f>C26*0.25</f>
        <v>15292.63</v>
      </c>
      <c r="K26" s="41">
        <f>C26*0.25</f>
        <v>15292.63</v>
      </c>
      <c r="L26" s="41">
        <f>C26*0.25</f>
        <v>15292.63</v>
      </c>
      <c r="M26" s="41">
        <f>C26*0.25</f>
        <v>15292.63</v>
      </c>
      <c r="N26" s="41"/>
      <c r="O26" s="41"/>
      <c r="P26" s="41">
        <f>SUM(J26:M26)</f>
        <v>61170.52</v>
      </c>
    </row>
    <row r="27" spans="1:16" ht="15.75">
      <c r="A27" s="178"/>
      <c r="B27" s="179"/>
      <c r="C27" s="39">
        <f>C26/C31</f>
        <v>0.0335</v>
      </c>
      <c r="D27" s="40"/>
      <c r="E27" s="40"/>
      <c r="F27" s="40"/>
      <c r="G27" s="40"/>
      <c r="H27" s="40"/>
      <c r="I27" s="40"/>
      <c r="J27" s="40">
        <f>J26/C26</f>
        <v>0.25</v>
      </c>
      <c r="K27" s="40">
        <f>K26/C26</f>
        <v>0.25</v>
      </c>
      <c r="L27" s="40">
        <f>L26/C26</f>
        <v>0.25</v>
      </c>
      <c r="M27" s="40">
        <f>M26/C26</f>
        <v>0.25</v>
      </c>
      <c r="N27" s="40"/>
      <c r="O27" s="40"/>
      <c r="P27" s="40">
        <f>SUM(J27:M27)</f>
        <v>1</v>
      </c>
    </row>
    <row r="28" spans="1:16" ht="15">
      <c r="A28" s="178">
        <v>12</v>
      </c>
      <c r="B28" s="179" t="s">
        <v>88</v>
      </c>
      <c r="C28" s="19">
        <f>'Planilha Orçamentaria'!G80</f>
        <v>2617.59</v>
      </c>
      <c r="D28" s="41"/>
      <c r="E28" s="41"/>
      <c r="F28" s="41"/>
      <c r="G28" s="41"/>
      <c r="H28" s="41"/>
      <c r="I28" s="41"/>
      <c r="J28" s="41"/>
      <c r="K28" s="41"/>
      <c r="L28" s="41">
        <f>C28</f>
        <v>2617.59</v>
      </c>
      <c r="M28" s="41"/>
      <c r="N28" s="41"/>
      <c r="O28" s="41"/>
      <c r="P28" s="41">
        <f>SUM(L28)</f>
        <v>2617.59</v>
      </c>
    </row>
    <row r="29" spans="1:16" ht="15.75">
      <c r="A29" s="178"/>
      <c r="B29" s="179"/>
      <c r="C29" s="39">
        <f>C28/C31</f>
        <v>0.0014</v>
      </c>
      <c r="D29" s="40"/>
      <c r="E29" s="40"/>
      <c r="F29" s="40"/>
      <c r="G29" s="40"/>
      <c r="H29" s="40"/>
      <c r="I29" s="40"/>
      <c r="J29" s="40"/>
      <c r="K29" s="40"/>
      <c r="L29" s="40">
        <f>L28/C28</f>
        <v>1</v>
      </c>
      <c r="M29" s="40"/>
      <c r="N29" s="40"/>
      <c r="O29" s="40"/>
      <c r="P29" s="40">
        <f>SUM(L29)</f>
        <v>1</v>
      </c>
    </row>
    <row r="30" spans="1:16" ht="15">
      <c r="A30" s="197"/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</row>
    <row r="31" spans="1:16" ht="15.75">
      <c r="A31" s="45"/>
      <c r="B31" s="10" t="s">
        <v>9</v>
      </c>
      <c r="C31" s="49">
        <f>C6+C8+C10+C12+C14+C16+C18+C20+C22+C24+C26+C28</f>
        <v>1823292.03</v>
      </c>
      <c r="D31" s="191" t="s">
        <v>373</v>
      </c>
      <c r="E31" s="192"/>
      <c r="F31" s="193"/>
      <c r="G31" s="10">
        <f>G6+G12+G14+G16</f>
        <v>87288.24</v>
      </c>
      <c r="H31" s="10">
        <f>H6+H12+H14+H16</f>
        <v>91237.03</v>
      </c>
      <c r="I31" s="10">
        <f>I6+I12+I14+I16+I18+I20</f>
        <v>125749.9</v>
      </c>
      <c r="J31" s="10">
        <f>J6+J10+J12+J14+J16+J18+J20+J22+J24+J26</f>
        <v>271712.4</v>
      </c>
      <c r="K31" s="10">
        <f>K6+K10+K12+K14+K16+K18+K20+K22+K24+K26</f>
        <v>320764.84</v>
      </c>
      <c r="L31" s="10">
        <f>L6+L10+L12+L18+L20+L22+L24+L26+L28</f>
        <v>268070.14</v>
      </c>
      <c r="M31" s="10">
        <f>M6+M10+M18+M20+M26</f>
        <v>261102.09</v>
      </c>
      <c r="N31" s="10">
        <f>N6+N10</f>
        <v>198683.72</v>
      </c>
      <c r="O31" s="10">
        <f>O6+O10</f>
        <v>198683.72</v>
      </c>
      <c r="P31" s="10">
        <f>P28+P26+P24+P22+P20+P18+P16+P14+P12+P10+P8+P6-0.05</f>
        <v>1823292.03</v>
      </c>
    </row>
    <row r="32" spans="1:16" ht="15">
      <c r="A32" s="45"/>
      <c r="B32" s="10" t="s">
        <v>10</v>
      </c>
      <c r="C32" s="50">
        <f>C7+C9+C11+C13+C15+C17+C19+C21+C23+C25+C27+C29</f>
        <v>1</v>
      </c>
      <c r="D32" s="194"/>
      <c r="E32" s="195"/>
      <c r="F32" s="196"/>
      <c r="G32" s="10">
        <f>G31</f>
        <v>87288.24</v>
      </c>
      <c r="H32" s="10">
        <f>G32+H31</f>
        <v>178525.27</v>
      </c>
      <c r="I32" s="10">
        <f>H32+I31</f>
        <v>304275.17</v>
      </c>
      <c r="J32" s="10">
        <f>J31+I32</f>
        <v>575987.57</v>
      </c>
      <c r="K32" s="10">
        <f>K31+J32</f>
        <v>896752.41</v>
      </c>
      <c r="L32" s="10">
        <f>K32+L31</f>
        <v>1164822.55</v>
      </c>
      <c r="M32" s="10">
        <f>L32+M31</f>
        <v>1425924.64</v>
      </c>
      <c r="N32" s="10">
        <f>M32+N31</f>
        <v>1624608.36</v>
      </c>
      <c r="O32" s="10">
        <f>N32+O31-0.05</f>
        <v>1823292.03</v>
      </c>
      <c r="P32" s="50">
        <f>P31/C31</f>
        <v>1</v>
      </c>
    </row>
    <row r="34" spans="2:3" ht="26.25" customHeight="1">
      <c r="B34" s="117" t="s">
        <v>420</v>
      </c>
      <c r="C34" s="116"/>
    </row>
    <row r="35" ht="15.75">
      <c r="B35" s="21"/>
    </row>
    <row r="36" spans="2:3" ht="15.75">
      <c r="B36" s="198"/>
      <c r="C36" s="198"/>
    </row>
    <row r="37" spans="1:16" ht="76.5" customHeight="1">
      <c r="A37" s="190" t="s">
        <v>377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</row>
    <row r="38" spans="2:3" ht="15">
      <c r="B38" s="16"/>
      <c r="C38" s="6"/>
    </row>
    <row r="39" spans="1:2" ht="15">
      <c r="A39" s="189"/>
      <c r="B39" s="189"/>
    </row>
  </sheetData>
  <sheetProtection/>
  <mergeCells count="37">
    <mergeCell ref="A37:P37"/>
    <mergeCell ref="D6:F7"/>
    <mergeCell ref="D31:F32"/>
    <mergeCell ref="A28:A29"/>
    <mergeCell ref="A24:A25"/>
    <mergeCell ref="A30:P30"/>
    <mergeCell ref="B24:B25"/>
    <mergeCell ref="B36:C36"/>
    <mergeCell ref="A10:A11"/>
    <mergeCell ref="B18:B19"/>
    <mergeCell ref="A39:B39"/>
    <mergeCell ref="B14:B15"/>
    <mergeCell ref="A22:A23"/>
    <mergeCell ref="A14:A15"/>
    <mergeCell ref="A6:A7"/>
    <mergeCell ref="B6:B7"/>
    <mergeCell ref="A8:A9"/>
    <mergeCell ref="B28:B29"/>
    <mergeCell ref="B22:B23"/>
    <mergeCell ref="B8:B9"/>
    <mergeCell ref="A1:P1"/>
    <mergeCell ref="A2:P2"/>
    <mergeCell ref="A3:P3"/>
    <mergeCell ref="B4:B5"/>
    <mergeCell ref="A4:A5"/>
    <mergeCell ref="G4:P4"/>
    <mergeCell ref="C4:C5"/>
    <mergeCell ref="A20:A21"/>
    <mergeCell ref="B20:B21"/>
    <mergeCell ref="A26:A27"/>
    <mergeCell ref="B26:B27"/>
    <mergeCell ref="B10:B11"/>
    <mergeCell ref="A12:A13"/>
    <mergeCell ref="B12:B13"/>
    <mergeCell ref="A16:A17"/>
    <mergeCell ref="B16:B17"/>
    <mergeCell ref="A18:A19"/>
  </mergeCells>
  <printOptions horizontalCentered="1"/>
  <pageMargins left="0.984251968503937" right="1.1811023622047245" top="0.984251968503937" bottom="1.5748031496062993" header="0.5118110236220472" footer="0.5118110236220472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0"/>
  <sheetViews>
    <sheetView zoomScaleSheetLayoutView="120" workbookViewId="0" topLeftCell="A340">
      <selection activeCell="B346" sqref="B346:D346"/>
    </sheetView>
  </sheetViews>
  <sheetFormatPr defaultColWidth="9.140625" defaultRowHeight="12.75"/>
  <cols>
    <col min="1" max="1" width="8.7109375" style="5" customWidth="1"/>
    <col min="2" max="2" width="36.7109375" style="18" customWidth="1"/>
    <col min="3" max="3" width="7.00390625" style="9" bestFit="1" customWidth="1"/>
    <col min="4" max="4" width="38.421875" style="24" customWidth="1"/>
    <col min="5" max="5" width="12.7109375" style="22" bestFit="1" customWidth="1"/>
    <col min="6" max="6" width="12.7109375" style="9" bestFit="1" customWidth="1"/>
    <col min="7" max="7" width="12.28125" style="5" customWidth="1"/>
    <col min="8" max="8" width="10.140625" style="5" bestFit="1" customWidth="1"/>
    <col min="9" max="16384" width="9.140625" style="5" customWidth="1"/>
  </cols>
  <sheetData>
    <row r="1" spans="1:5" ht="30.75" customHeight="1">
      <c r="A1" s="225" t="s">
        <v>141</v>
      </c>
      <c r="B1" s="226"/>
      <c r="C1" s="226"/>
      <c r="D1" s="226"/>
      <c r="E1" s="227"/>
    </row>
    <row r="2" spans="1:6" s="8" customFormat="1" ht="81" customHeight="1">
      <c r="A2" s="228" t="s">
        <v>328</v>
      </c>
      <c r="B2" s="228"/>
      <c r="C2" s="228"/>
      <c r="D2" s="228"/>
      <c r="E2" s="228"/>
      <c r="F2" s="13"/>
    </row>
    <row r="3" spans="1:5" ht="20.25" customHeight="1">
      <c r="A3" s="220" t="s">
        <v>300</v>
      </c>
      <c r="B3" s="220"/>
      <c r="C3" s="220"/>
      <c r="D3" s="220"/>
      <c r="E3" s="220"/>
    </row>
    <row r="4" spans="1:5" ht="19.5" customHeight="1">
      <c r="A4" s="1" t="s">
        <v>1</v>
      </c>
      <c r="B4" s="1" t="s">
        <v>17</v>
      </c>
      <c r="C4" s="1" t="s">
        <v>301</v>
      </c>
      <c r="D4" s="86" t="s">
        <v>116</v>
      </c>
      <c r="E4" s="3" t="s">
        <v>20</v>
      </c>
    </row>
    <row r="5" spans="1:5" ht="15.75">
      <c r="A5" s="36" t="s">
        <v>41</v>
      </c>
      <c r="B5" s="219" t="s">
        <v>395</v>
      </c>
      <c r="C5" s="219"/>
      <c r="D5" s="219"/>
      <c r="E5" s="219"/>
    </row>
    <row r="6" spans="1:5" ht="15.75">
      <c r="A6" s="4">
        <v>1</v>
      </c>
      <c r="B6" s="145" t="s">
        <v>2</v>
      </c>
      <c r="C6" s="146"/>
      <c r="D6" s="146"/>
      <c r="E6" s="199"/>
    </row>
    <row r="7" spans="1:5" ht="30">
      <c r="A7" s="67" t="s">
        <v>3</v>
      </c>
      <c r="B7" s="69" t="s">
        <v>18</v>
      </c>
      <c r="C7" s="67" t="s">
        <v>4</v>
      </c>
      <c r="D7" s="70" t="s">
        <v>136</v>
      </c>
      <c r="E7" s="129">
        <f>2*4</f>
        <v>8</v>
      </c>
    </row>
    <row r="8" spans="1:5" ht="30">
      <c r="A8" s="67" t="s">
        <v>5</v>
      </c>
      <c r="B8" s="71" t="s">
        <v>381</v>
      </c>
      <c r="C8" s="72" t="s">
        <v>383</v>
      </c>
      <c r="D8" s="37" t="s">
        <v>384</v>
      </c>
      <c r="E8" s="130">
        <v>1</v>
      </c>
    </row>
    <row r="9" spans="1:5" ht="60">
      <c r="A9" s="67" t="s">
        <v>26</v>
      </c>
      <c r="B9" s="71" t="s">
        <v>28</v>
      </c>
      <c r="C9" s="72" t="s">
        <v>11</v>
      </c>
      <c r="D9" s="37" t="s">
        <v>137</v>
      </c>
      <c r="E9" s="130">
        <v>10</v>
      </c>
    </row>
    <row r="10" spans="1:5" ht="75">
      <c r="A10" s="67" t="s">
        <v>79</v>
      </c>
      <c r="B10" s="29" t="s">
        <v>254</v>
      </c>
      <c r="C10" s="66" t="s">
        <v>4</v>
      </c>
      <c r="D10" s="37" t="s">
        <v>138</v>
      </c>
      <c r="E10" s="130">
        <v>12</v>
      </c>
    </row>
    <row r="11" spans="1:5" ht="75">
      <c r="A11" s="67" t="s">
        <v>89</v>
      </c>
      <c r="B11" s="29" t="s">
        <v>139</v>
      </c>
      <c r="C11" s="66" t="s">
        <v>0</v>
      </c>
      <c r="D11" s="37" t="s">
        <v>327</v>
      </c>
      <c r="E11" s="130">
        <v>25</v>
      </c>
    </row>
    <row r="12" spans="1:5" ht="60">
      <c r="A12" s="67" t="s">
        <v>90</v>
      </c>
      <c r="B12" s="29" t="s">
        <v>121</v>
      </c>
      <c r="C12" s="66" t="s">
        <v>0</v>
      </c>
      <c r="D12" s="37" t="s">
        <v>327</v>
      </c>
      <c r="E12" s="130">
        <v>25</v>
      </c>
    </row>
    <row r="13" spans="1:5" ht="75">
      <c r="A13" s="67" t="s">
        <v>91</v>
      </c>
      <c r="B13" s="29" t="s">
        <v>124</v>
      </c>
      <c r="C13" s="66" t="s">
        <v>0</v>
      </c>
      <c r="D13" s="37" t="s">
        <v>140</v>
      </c>
      <c r="E13" s="130">
        <v>20</v>
      </c>
    </row>
    <row r="14" spans="1:5" ht="30">
      <c r="A14" s="67" t="s">
        <v>123</v>
      </c>
      <c r="B14" s="29" t="s">
        <v>93</v>
      </c>
      <c r="C14" s="66" t="s">
        <v>40</v>
      </c>
      <c r="D14" s="37" t="s">
        <v>299</v>
      </c>
      <c r="E14" s="130">
        <v>1</v>
      </c>
    </row>
    <row r="15" spans="1:5" ht="15">
      <c r="A15" s="200"/>
      <c r="B15" s="200"/>
      <c r="C15" s="200"/>
      <c r="D15" s="200"/>
      <c r="E15" s="200"/>
    </row>
    <row r="16" spans="1:5" ht="15.75">
      <c r="A16" s="4">
        <v>2</v>
      </c>
      <c r="B16" s="221" t="s">
        <v>29</v>
      </c>
      <c r="C16" s="221"/>
      <c r="D16" s="221"/>
      <c r="E16" s="221"/>
    </row>
    <row r="17" spans="1:5" ht="45">
      <c r="A17" s="66" t="s">
        <v>22</v>
      </c>
      <c r="B17" s="29" t="s">
        <v>94</v>
      </c>
      <c r="C17" s="66" t="s">
        <v>19</v>
      </c>
      <c r="D17" s="38" t="s">
        <v>30</v>
      </c>
      <c r="E17" s="130">
        <v>0</v>
      </c>
    </row>
    <row r="18" spans="1:5" ht="45">
      <c r="A18" s="66" t="s">
        <v>23</v>
      </c>
      <c r="B18" s="29" t="s">
        <v>96</v>
      </c>
      <c r="C18" s="66" t="s">
        <v>19</v>
      </c>
      <c r="D18" s="38" t="s">
        <v>30</v>
      </c>
      <c r="E18" s="130">
        <v>0</v>
      </c>
    </row>
    <row r="19" spans="1:5" ht="30">
      <c r="A19" s="66" t="s">
        <v>95</v>
      </c>
      <c r="B19" s="29" t="s">
        <v>92</v>
      </c>
      <c r="C19" s="66" t="s">
        <v>4</v>
      </c>
      <c r="D19" s="38" t="s">
        <v>30</v>
      </c>
      <c r="E19" s="130">
        <v>0</v>
      </c>
    </row>
    <row r="20" spans="1:5" ht="15">
      <c r="A20" s="200"/>
      <c r="B20" s="200"/>
      <c r="C20" s="200"/>
      <c r="D20" s="200"/>
      <c r="E20" s="200"/>
    </row>
    <row r="21" spans="1:5" ht="15.75">
      <c r="A21" s="36" t="s">
        <v>44</v>
      </c>
      <c r="B21" s="219" t="s">
        <v>42</v>
      </c>
      <c r="C21" s="219"/>
      <c r="D21" s="219"/>
      <c r="E21" s="219"/>
    </row>
    <row r="22" spans="1:10" ht="15.75">
      <c r="A22" s="27">
        <v>3</v>
      </c>
      <c r="B22" s="145" t="s">
        <v>25</v>
      </c>
      <c r="C22" s="146"/>
      <c r="D22" s="146"/>
      <c r="E22" s="199"/>
      <c r="H22" s="9"/>
      <c r="J22" s="9"/>
    </row>
    <row r="23" spans="1:5" ht="33" customHeight="1">
      <c r="A23" s="200" t="s">
        <v>32</v>
      </c>
      <c r="B23" s="210" t="s">
        <v>126</v>
      </c>
      <c r="C23" s="211"/>
      <c r="D23" s="212"/>
      <c r="E23" s="123"/>
    </row>
    <row r="24" spans="1:10" ht="62.25">
      <c r="A24" s="200"/>
      <c r="B24" s="100" t="s">
        <v>217</v>
      </c>
      <c r="C24" s="205" t="s">
        <v>0</v>
      </c>
      <c r="D24" s="120" t="s">
        <v>330</v>
      </c>
      <c r="E24" s="57"/>
      <c r="H24" s="9"/>
      <c r="J24" s="9"/>
    </row>
    <row r="25" spans="1:10" ht="36" customHeight="1">
      <c r="A25" s="200"/>
      <c r="B25" s="29" t="s">
        <v>170</v>
      </c>
      <c r="C25" s="206"/>
      <c r="D25" s="88" t="s">
        <v>331</v>
      </c>
      <c r="E25" s="58"/>
      <c r="H25" s="9"/>
      <c r="J25" s="9"/>
    </row>
    <row r="26" spans="1:10" ht="53.25" customHeight="1">
      <c r="A26" s="200"/>
      <c r="B26" s="29" t="s">
        <v>171</v>
      </c>
      <c r="C26" s="206"/>
      <c r="D26" s="88" t="s">
        <v>332</v>
      </c>
      <c r="E26" s="131">
        <f>205.45+9.6+14.35+19+35.1+12.2</f>
        <v>295.7</v>
      </c>
      <c r="H26" s="9"/>
      <c r="J26" s="9"/>
    </row>
    <row r="27" spans="1:10" ht="31.5">
      <c r="A27" s="200"/>
      <c r="B27" s="29" t="s">
        <v>172</v>
      </c>
      <c r="C27" s="206"/>
      <c r="D27" s="88" t="s">
        <v>333</v>
      </c>
      <c r="E27" s="57"/>
      <c r="H27" s="9"/>
      <c r="J27" s="9"/>
    </row>
    <row r="28" spans="1:10" ht="31.5">
      <c r="A28" s="200"/>
      <c r="B28" s="29" t="s">
        <v>173</v>
      </c>
      <c r="C28" s="206"/>
      <c r="D28" s="88" t="s">
        <v>334</v>
      </c>
      <c r="E28" s="57"/>
      <c r="H28" s="9"/>
      <c r="J28" s="9"/>
    </row>
    <row r="29" spans="1:10" ht="31.5">
      <c r="A29" s="200"/>
      <c r="B29" s="29" t="s">
        <v>174</v>
      </c>
      <c r="C29" s="207"/>
      <c r="D29" s="88" t="s">
        <v>335</v>
      </c>
      <c r="E29" s="57"/>
      <c r="H29" s="9"/>
      <c r="J29" s="9"/>
    </row>
    <row r="30" spans="1:10" ht="44.25" customHeight="1">
      <c r="A30" s="200" t="s">
        <v>33</v>
      </c>
      <c r="B30" s="210" t="s">
        <v>397</v>
      </c>
      <c r="C30" s="211"/>
      <c r="D30" s="212"/>
      <c r="E30" s="98"/>
      <c r="H30" s="9"/>
      <c r="J30" s="9"/>
    </row>
    <row r="31" spans="1:10" ht="15">
      <c r="A31" s="200"/>
      <c r="B31" s="223" t="s">
        <v>206</v>
      </c>
      <c r="C31" s="205" t="s">
        <v>4</v>
      </c>
      <c r="D31" s="121" t="s">
        <v>336</v>
      </c>
      <c r="E31" s="62"/>
      <c r="H31" s="9"/>
      <c r="J31" s="9"/>
    </row>
    <row r="32" spans="1:10" ht="15">
      <c r="A32" s="200"/>
      <c r="B32" s="223"/>
      <c r="C32" s="206"/>
      <c r="D32" s="74" t="s">
        <v>336</v>
      </c>
      <c r="E32" s="62"/>
      <c r="H32" s="9"/>
      <c r="J32" s="9"/>
    </row>
    <row r="33" spans="1:10" ht="15">
      <c r="A33" s="200"/>
      <c r="B33" s="223"/>
      <c r="C33" s="206"/>
      <c r="D33" s="74" t="s">
        <v>337</v>
      </c>
      <c r="E33" s="62"/>
      <c r="H33" s="9"/>
      <c r="J33" s="9"/>
    </row>
    <row r="34" spans="1:10" ht="15">
      <c r="A34" s="200"/>
      <c r="B34" s="223"/>
      <c r="C34" s="206"/>
      <c r="D34" s="74" t="s">
        <v>338</v>
      </c>
      <c r="E34" s="62"/>
      <c r="H34" s="9"/>
      <c r="J34" s="9"/>
    </row>
    <row r="35" spans="1:10" ht="15">
      <c r="A35" s="200"/>
      <c r="B35" s="223"/>
      <c r="C35" s="206"/>
      <c r="D35" s="74" t="s">
        <v>338</v>
      </c>
      <c r="E35" s="62"/>
      <c r="H35" s="9"/>
      <c r="J35" s="9"/>
    </row>
    <row r="36" spans="1:10" ht="15">
      <c r="A36" s="200"/>
      <c r="B36" s="223"/>
      <c r="C36" s="206"/>
      <c r="D36" s="74" t="s">
        <v>339</v>
      </c>
      <c r="E36" s="62"/>
      <c r="H36" s="9"/>
      <c r="J36" s="9"/>
    </row>
    <row r="37" spans="1:10" ht="15">
      <c r="A37" s="200"/>
      <c r="B37" s="223"/>
      <c r="C37" s="206"/>
      <c r="D37" s="74" t="s">
        <v>340</v>
      </c>
      <c r="E37" s="62"/>
      <c r="H37" s="9"/>
      <c r="J37" s="9"/>
    </row>
    <row r="38" spans="1:10" ht="15">
      <c r="A38" s="200"/>
      <c r="B38" s="223"/>
      <c r="C38" s="206"/>
      <c r="D38" s="74" t="s">
        <v>340</v>
      </c>
      <c r="E38" s="62"/>
      <c r="H38" s="9"/>
      <c r="J38" s="9"/>
    </row>
    <row r="39" spans="1:10" ht="15">
      <c r="A39" s="200"/>
      <c r="B39" s="223"/>
      <c r="C39" s="206"/>
      <c r="D39" s="74" t="s">
        <v>341</v>
      </c>
      <c r="E39" s="62"/>
      <c r="H39" s="9"/>
      <c r="J39" s="9"/>
    </row>
    <row r="40" spans="1:10" ht="15">
      <c r="A40" s="200"/>
      <c r="B40" s="223"/>
      <c r="C40" s="206"/>
      <c r="D40" s="74" t="s">
        <v>378</v>
      </c>
      <c r="E40" s="62"/>
      <c r="H40" s="9"/>
      <c r="J40" s="9"/>
    </row>
    <row r="41" spans="1:10" ht="15.75">
      <c r="A41" s="200"/>
      <c r="B41" s="224"/>
      <c r="C41" s="206"/>
      <c r="D41" s="89" t="s">
        <v>379</v>
      </c>
      <c r="E41" s="62"/>
      <c r="H41" s="9"/>
      <c r="J41" s="9"/>
    </row>
    <row r="42" spans="1:10" ht="15">
      <c r="A42" s="200"/>
      <c r="B42" s="222" t="s">
        <v>170</v>
      </c>
      <c r="C42" s="206"/>
      <c r="D42" s="59" t="s">
        <v>342</v>
      </c>
      <c r="E42" s="60"/>
      <c r="H42" s="9"/>
      <c r="J42" s="9"/>
    </row>
    <row r="43" spans="1:10" ht="15">
      <c r="A43" s="200"/>
      <c r="B43" s="223"/>
      <c r="C43" s="206"/>
      <c r="D43" s="74" t="s">
        <v>343</v>
      </c>
      <c r="E43" s="60"/>
      <c r="H43" s="9"/>
      <c r="J43" s="9"/>
    </row>
    <row r="44" spans="1:10" ht="15">
      <c r="A44" s="200"/>
      <c r="B44" s="223"/>
      <c r="C44" s="206"/>
      <c r="D44" s="74" t="s">
        <v>344</v>
      </c>
      <c r="E44" s="60"/>
      <c r="H44" s="9"/>
      <c r="J44" s="9"/>
    </row>
    <row r="45" spans="1:10" ht="15">
      <c r="A45" s="200"/>
      <c r="B45" s="223"/>
      <c r="C45" s="206"/>
      <c r="D45" s="74" t="s">
        <v>345</v>
      </c>
      <c r="E45" s="60"/>
      <c r="H45" s="9"/>
      <c r="J45" s="9"/>
    </row>
    <row r="46" spans="1:10" ht="15">
      <c r="A46" s="200"/>
      <c r="B46" s="223"/>
      <c r="C46" s="206"/>
      <c r="D46" s="74" t="s">
        <v>346</v>
      </c>
      <c r="E46" s="60"/>
      <c r="H46" s="9"/>
      <c r="J46" s="9"/>
    </row>
    <row r="47" spans="1:10" ht="15.75">
      <c r="A47" s="200"/>
      <c r="B47" s="224"/>
      <c r="C47" s="206"/>
      <c r="D47" s="89" t="s">
        <v>347</v>
      </c>
      <c r="E47" s="62"/>
      <c r="H47" s="9"/>
      <c r="J47" s="9"/>
    </row>
    <row r="48" spans="1:10" ht="15.75">
      <c r="A48" s="200"/>
      <c r="B48" s="222" t="s">
        <v>171</v>
      </c>
      <c r="C48" s="206"/>
      <c r="D48" s="59" t="s">
        <v>348</v>
      </c>
      <c r="E48" s="132">
        <f>4636.63+779.25+518.76+643.66+386.74+193.12</f>
        <v>7158.16</v>
      </c>
      <c r="H48" s="9"/>
      <c r="J48" s="9"/>
    </row>
    <row r="49" spans="1:10" ht="15">
      <c r="A49" s="200"/>
      <c r="B49" s="223"/>
      <c r="C49" s="206"/>
      <c r="D49" s="74" t="s">
        <v>349</v>
      </c>
      <c r="E49" s="62"/>
      <c r="H49" s="9"/>
      <c r="J49" s="9"/>
    </row>
    <row r="50" spans="1:10" ht="15">
      <c r="A50" s="200"/>
      <c r="B50" s="223"/>
      <c r="C50" s="206"/>
      <c r="D50" s="74" t="s">
        <v>350</v>
      </c>
      <c r="E50" s="60"/>
      <c r="H50" s="9"/>
      <c r="J50" s="9"/>
    </row>
    <row r="51" spans="1:10" ht="15">
      <c r="A51" s="200"/>
      <c r="B51" s="223"/>
      <c r="C51" s="206"/>
      <c r="D51" s="74" t="s">
        <v>351</v>
      </c>
      <c r="E51" s="60"/>
      <c r="H51" s="9"/>
      <c r="J51" s="9"/>
    </row>
    <row r="52" spans="1:10" ht="15.75">
      <c r="A52" s="200"/>
      <c r="B52" s="224"/>
      <c r="C52" s="206"/>
      <c r="D52" s="89" t="s">
        <v>352</v>
      </c>
      <c r="E52" s="60"/>
      <c r="H52" s="9"/>
      <c r="J52" s="9"/>
    </row>
    <row r="53" spans="1:10" ht="15">
      <c r="A53" s="200"/>
      <c r="B53" s="222" t="s">
        <v>172</v>
      </c>
      <c r="C53" s="206"/>
      <c r="D53" s="59" t="s">
        <v>353</v>
      </c>
      <c r="E53" s="60"/>
      <c r="H53" s="9"/>
      <c r="J53" s="9"/>
    </row>
    <row r="54" spans="1:10" ht="15">
      <c r="A54" s="200"/>
      <c r="B54" s="223"/>
      <c r="C54" s="206"/>
      <c r="D54" s="74" t="s">
        <v>354</v>
      </c>
      <c r="E54" s="60"/>
      <c r="H54" s="9"/>
      <c r="J54" s="9"/>
    </row>
    <row r="55" spans="1:10" ht="15">
      <c r="A55" s="200"/>
      <c r="B55" s="223"/>
      <c r="C55" s="206"/>
      <c r="D55" s="74" t="s">
        <v>355</v>
      </c>
      <c r="E55" s="60"/>
      <c r="H55" s="9"/>
      <c r="J55" s="9"/>
    </row>
    <row r="56" spans="1:10" ht="15">
      <c r="A56" s="200"/>
      <c r="B56" s="223"/>
      <c r="C56" s="206"/>
      <c r="D56" s="74" t="s">
        <v>356</v>
      </c>
      <c r="E56" s="60"/>
      <c r="H56" s="9"/>
      <c r="J56" s="9"/>
    </row>
    <row r="57" spans="1:10" ht="15.75">
      <c r="A57" s="200"/>
      <c r="B57" s="224"/>
      <c r="C57" s="206"/>
      <c r="D57" s="89" t="s">
        <v>357</v>
      </c>
      <c r="E57" s="60"/>
      <c r="H57" s="9"/>
      <c r="J57" s="9"/>
    </row>
    <row r="58" spans="1:10" ht="15">
      <c r="A58" s="200"/>
      <c r="B58" s="222" t="s">
        <v>173</v>
      </c>
      <c r="C58" s="206"/>
      <c r="D58" s="59" t="s">
        <v>358</v>
      </c>
      <c r="E58" s="60"/>
      <c r="H58" s="9"/>
      <c r="J58" s="9"/>
    </row>
    <row r="59" spans="1:10" ht="15">
      <c r="A59" s="200"/>
      <c r="B59" s="223"/>
      <c r="C59" s="206"/>
      <c r="D59" s="74" t="s">
        <v>359</v>
      </c>
      <c r="E59" s="60"/>
      <c r="H59" s="9"/>
      <c r="J59" s="9"/>
    </row>
    <row r="60" spans="1:10" ht="15">
      <c r="A60" s="200"/>
      <c r="B60" s="223"/>
      <c r="C60" s="206"/>
      <c r="D60" s="74" t="s">
        <v>360</v>
      </c>
      <c r="E60" s="60"/>
      <c r="H60" s="9"/>
      <c r="J60" s="9"/>
    </row>
    <row r="61" spans="1:10" ht="15">
      <c r="A61" s="200"/>
      <c r="B61" s="223"/>
      <c r="C61" s="206"/>
      <c r="D61" s="74" t="s">
        <v>361</v>
      </c>
      <c r="E61" s="60"/>
      <c r="H61" s="9"/>
      <c r="J61" s="9"/>
    </row>
    <row r="62" spans="1:10" ht="15">
      <c r="A62" s="200"/>
      <c r="B62" s="223"/>
      <c r="C62" s="206"/>
      <c r="D62" s="74" t="s">
        <v>362</v>
      </c>
      <c r="E62" s="60"/>
      <c r="H62" s="9"/>
      <c r="J62" s="9"/>
    </row>
    <row r="63" spans="1:10" ht="15.75">
      <c r="A63" s="200"/>
      <c r="B63" s="224"/>
      <c r="C63" s="206"/>
      <c r="D63" s="89" t="s">
        <v>363</v>
      </c>
      <c r="E63" s="60"/>
      <c r="H63" s="9"/>
      <c r="J63" s="9"/>
    </row>
    <row r="64" spans="1:10" ht="15">
      <c r="A64" s="200"/>
      <c r="B64" s="222" t="s">
        <v>174</v>
      </c>
      <c r="C64" s="206"/>
      <c r="D64" s="59" t="s">
        <v>364</v>
      </c>
      <c r="E64" s="60"/>
      <c r="H64" s="9"/>
      <c r="J64" s="9"/>
    </row>
    <row r="65" spans="1:10" ht="15">
      <c r="A65" s="200"/>
      <c r="B65" s="223"/>
      <c r="C65" s="206"/>
      <c r="D65" s="74" t="s">
        <v>365</v>
      </c>
      <c r="E65" s="60"/>
      <c r="H65" s="9"/>
      <c r="J65" s="9"/>
    </row>
    <row r="66" spans="1:10" ht="15">
      <c r="A66" s="200"/>
      <c r="B66" s="223"/>
      <c r="C66" s="206"/>
      <c r="D66" s="74" t="s">
        <v>366</v>
      </c>
      <c r="E66" s="60"/>
      <c r="H66" s="9"/>
      <c r="J66" s="9"/>
    </row>
    <row r="67" spans="1:10" ht="15.75">
      <c r="A67" s="200"/>
      <c r="B67" s="224"/>
      <c r="C67" s="207"/>
      <c r="D67" s="89" t="s">
        <v>367</v>
      </c>
      <c r="E67" s="60"/>
      <c r="H67" s="9"/>
      <c r="J67" s="9"/>
    </row>
    <row r="68" spans="1:5" ht="34.5" customHeight="1">
      <c r="A68" s="200" t="s">
        <v>34</v>
      </c>
      <c r="B68" s="210" t="s">
        <v>129</v>
      </c>
      <c r="C68" s="211"/>
      <c r="D68" s="212"/>
      <c r="E68" s="98"/>
    </row>
    <row r="69" spans="1:10" ht="61.5">
      <c r="A69" s="200"/>
      <c r="B69" s="100" t="s">
        <v>217</v>
      </c>
      <c r="C69" s="205" t="s">
        <v>0</v>
      </c>
      <c r="D69" s="120" t="s">
        <v>368</v>
      </c>
      <c r="E69" s="57"/>
      <c r="G69" s="55"/>
      <c r="H69" s="55"/>
      <c r="J69" s="9"/>
    </row>
    <row r="70" spans="1:10" ht="31.5">
      <c r="A70" s="200"/>
      <c r="B70" s="29" t="s">
        <v>170</v>
      </c>
      <c r="C70" s="206"/>
      <c r="D70" s="56" t="s">
        <v>369</v>
      </c>
      <c r="E70" s="133">
        <f>525.6+189.4+125.95+156.02+99.15+61.4</f>
        <v>1157.52</v>
      </c>
      <c r="H70" s="9"/>
      <c r="J70" s="9"/>
    </row>
    <row r="71" spans="1:10" ht="31.5">
      <c r="A71" s="200"/>
      <c r="B71" s="29" t="s">
        <v>171</v>
      </c>
      <c r="C71" s="206"/>
      <c r="D71" s="56" t="s">
        <v>240</v>
      </c>
      <c r="E71" s="63"/>
      <c r="H71" s="9"/>
      <c r="J71" s="9"/>
    </row>
    <row r="72" spans="1:10" ht="31.5">
      <c r="A72" s="200"/>
      <c r="B72" s="29" t="s">
        <v>172</v>
      </c>
      <c r="C72" s="206"/>
      <c r="D72" s="56" t="s">
        <v>241</v>
      </c>
      <c r="E72" s="57"/>
      <c r="H72" s="9"/>
      <c r="J72" s="9"/>
    </row>
    <row r="73" spans="1:10" ht="31.5">
      <c r="A73" s="200"/>
      <c r="B73" s="29" t="s">
        <v>173</v>
      </c>
      <c r="C73" s="206"/>
      <c r="D73" s="56" t="s">
        <v>370</v>
      </c>
      <c r="E73" s="57"/>
      <c r="H73" s="9"/>
      <c r="J73" s="9"/>
    </row>
    <row r="74" spans="1:10" ht="15.75">
      <c r="A74" s="200"/>
      <c r="B74" s="29" t="s">
        <v>174</v>
      </c>
      <c r="C74" s="207"/>
      <c r="D74" s="56" t="s">
        <v>371</v>
      </c>
      <c r="E74" s="57"/>
      <c r="H74" s="9"/>
      <c r="J74" s="9"/>
    </row>
    <row r="75" spans="1:5" ht="32.25" customHeight="1">
      <c r="A75" s="200" t="s">
        <v>38</v>
      </c>
      <c r="B75" s="210" t="s">
        <v>131</v>
      </c>
      <c r="C75" s="211"/>
      <c r="D75" s="212"/>
      <c r="E75" s="123"/>
    </row>
    <row r="76" spans="1:10" ht="61.5">
      <c r="A76" s="200"/>
      <c r="B76" s="223" t="s">
        <v>217</v>
      </c>
      <c r="C76" s="205" t="s">
        <v>0</v>
      </c>
      <c r="D76" s="122" t="s">
        <v>329</v>
      </c>
      <c r="E76" s="57"/>
      <c r="H76" s="9"/>
      <c r="J76" s="9"/>
    </row>
    <row r="77" spans="1:10" ht="15.75">
      <c r="A77" s="200"/>
      <c r="B77" s="224"/>
      <c r="C77" s="206"/>
      <c r="D77" s="65" t="s">
        <v>234</v>
      </c>
      <c r="E77" s="57"/>
      <c r="H77" s="9"/>
      <c r="J77" s="9"/>
    </row>
    <row r="78" spans="1:10" ht="31.5">
      <c r="A78" s="200"/>
      <c r="B78" s="29" t="s">
        <v>170</v>
      </c>
      <c r="C78" s="206"/>
      <c r="D78" s="64" t="s">
        <v>235</v>
      </c>
      <c r="E78" s="58"/>
      <c r="H78" s="9"/>
      <c r="J78" s="9"/>
    </row>
    <row r="79" spans="1:10" ht="31.5">
      <c r="A79" s="200"/>
      <c r="B79" s="29" t="s">
        <v>171</v>
      </c>
      <c r="C79" s="206"/>
      <c r="D79" s="64" t="s">
        <v>236</v>
      </c>
      <c r="E79" s="131">
        <f>1320.83+49.4+360.64+215.2+101.68+230.7+198.3+122.8</f>
        <v>2599.55</v>
      </c>
      <c r="H79" s="9"/>
      <c r="J79" s="9"/>
    </row>
    <row r="80" spans="1:10" ht="31.5">
      <c r="A80" s="200"/>
      <c r="B80" s="222" t="s">
        <v>172</v>
      </c>
      <c r="C80" s="206"/>
      <c r="D80" s="64" t="s">
        <v>238</v>
      </c>
      <c r="E80" s="57"/>
      <c r="H80" s="9"/>
      <c r="J80" s="9"/>
    </row>
    <row r="81" spans="1:10" ht="31.5">
      <c r="A81" s="200"/>
      <c r="B81" s="224"/>
      <c r="C81" s="206"/>
      <c r="D81" s="65" t="s">
        <v>237</v>
      </c>
      <c r="E81" s="57"/>
      <c r="H81" s="9"/>
      <c r="J81" s="9"/>
    </row>
    <row r="82" spans="1:10" ht="31.5">
      <c r="A82" s="200"/>
      <c r="B82" s="29" t="s">
        <v>173</v>
      </c>
      <c r="C82" s="206"/>
      <c r="D82" s="65" t="s">
        <v>239</v>
      </c>
      <c r="E82" s="57"/>
      <c r="H82" s="9"/>
      <c r="J82" s="9"/>
    </row>
    <row r="83" spans="1:10" ht="31.5">
      <c r="A83" s="200"/>
      <c r="B83" s="29" t="s">
        <v>174</v>
      </c>
      <c r="C83" s="207"/>
      <c r="D83" s="65" t="s">
        <v>242</v>
      </c>
      <c r="E83" s="57"/>
      <c r="H83" s="9"/>
      <c r="J83" s="9"/>
    </row>
    <row r="84" spans="1:5" ht="15">
      <c r="A84" s="200"/>
      <c r="B84" s="200"/>
      <c r="C84" s="200"/>
      <c r="D84" s="200"/>
      <c r="E84" s="200"/>
    </row>
    <row r="85" spans="1:5" ht="15.75">
      <c r="A85" s="4">
        <v>4</v>
      </c>
      <c r="B85" s="145" t="s">
        <v>135</v>
      </c>
      <c r="C85" s="146"/>
      <c r="D85" s="146"/>
      <c r="E85" s="199"/>
    </row>
    <row r="86" spans="1:5" ht="49.5" customHeight="1">
      <c r="A86" s="201" t="s">
        <v>35</v>
      </c>
      <c r="B86" s="210" t="s">
        <v>64</v>
      </c>
      <c r="C86" s="211"/>
      <c r="D86" s="212"/>
      <c r="E86" s="123"/>
    </row>
    <row r="87" spans="1:5" ht="15">
      <c r="A87" s="201"/>
      <c r="B87" s="223" t="s">
        <v>192</v>
      </c>
      <c r="C87" s="213" t="s">
        <v>0</v>
      </c>
      <c r="D87" s="121" t="s">
        <v>142</v>
      </c>
      <c r="E87" s="73"/>
    </row>
    <row r="88" spans="1:5" ht="15">
      <c r="A88" s="201"/>
      <c r="B88" s="223"/>
      <c r="C88" s="213"/>
      <c r="D88" s="74" t="s">
        <v>143</v>
      </c>
      <c r="E88" s="73"/>
    </row>
    <row r="89" spans="1:5" ht="15">
      <c r="A89" s="201"/>
      <c r="B89" s="223"/>
      <c r="C89" s="213"/>
      <c r="D89" s="74" t="s">
        <v>144</v>
      </c>
      <c r="E89" s="73"/>
    </row>
    <row r="90" spans="1:5" ht="15">
      <c r="A90" s="201"/>
      <c r="B90" s="223"/>
      <c r="C90" s="213"/>
      <c r="D90" s="74" t="s">
        <v>145</v>
      </c>
      <c r="E90" s="73"/>
    </row>
    <row r="91" spans="1:5" ht="15">
      <c r="A91" s="201"/>
      <c r="B91" s="223"/>
      <c r="C91" s="213"/>
      <c r="D91" s="74" t="s">
        <v>146</v>
      </c>
      <c r="E91" s="73"/>
    </row>
    <row r="92" spans="1:5" ht="15">
      <c r="A92" s="201"/>
      <c r="B92" s="224"/>
      <c r="C92" s="213"/>
      <c r="D92" s="61" t="s">
        <v>147</v>
      </c>
      <c r="E92" s="73"/>
    </row>
    <row r="93" spans="1:5" ht="15.75">
      <c r="A93" s="201"/>
      <c r="B93" s="222" t="s">
        <v>148</v>
      </c>
      <c r="C93" s="213"/>
      <c r="D93" s="59" t="s">
        <v>149</v>
      </c>
      <c r="E93" s="134">
        <f>8+8+4+13+15+8+6+5+6+7+7+8+10+6+6</f>
        <v>117</v>
      </c>
    </row>
    <row r="94" spans="1:5" ht="15">
      <c r="A94" s="201"/>
      <c r="B94" s="223"/>
      <c r="C94" s="213"/>
      <c r="D94" s="74" t="s">
        <v>150</v>
      </c>
      <c r="E94" s="102"/>
    </row>
    <row r="95" spans="1:5" ht="15">
      <c r="A95" s="201"/>
      <c r="B95" s="223"/>
      <c r="C95" s="213"/>
      <c r="D95" s="74" t="s">
        <v>151</v>
      </c>
      <c r="E95" s="73"/>
    </row>
    <row r="96" spans="1:5" ht="15">
      <c r="A96" s="201"/>
      <c r="B96" s="224"/>
      <c r="C96" s="213"/>
      <c r="D96" s="61" t="s">
        <v>156</v>
      </c>
      <c r="E96" s="73"/>
    </row>
    <row r="97" spans="1:5" ht="15">
      <c r="A97" s="201"/>
      <c r="B97" s="222" t="s">
        <v>152</v>
      </c>
      <c r="C97" s="213"/>
      <c r="D97" s="59" t="s">
        <v>153</v>
      </c>
      <c r="E97" s="73"/>
    </row>
    <row r="98" spans="1:5" ht="15">
      <c r="A98" s="201"/>
      <c r="B98" s="223"/>
      <c r="C98" s="213"/>
      <c r="D98" s="74" t="s">
        <v>154</v>
      </c>
      <c r="E98" s="73"/>
    </row>
    <row r="99" spans="1:5" ht="15">
      <c r="A99" s="201"/>
      <c r="B99" s="223"/>
      <c r="C99" s="213"/>
      <c r="D99" s="61" t="s">
        <v>155</v>
      </c>
      <c r="E99" s="73"/>
    </row>
    <row r="100" spans="1:5" ht="15">
      <c r="A100" s="201"/>
      <c r="B100" s="222" t="s">
        <v>157</v>
      </c>
      <c r="C100" s="213"/>
      <c r="D100" s="121" t="s">
        <v>158</v>
      </c>
      <c r="E100" s="73"/>
    </row>
    <row r="101" spans="1:5" ht="15">
      <c r="A101" s="201"/>
      <c r="B101" s="223"/>
      <c r="C101" s="209"/>
      <c r="D101" s="61" t="s">
        <v>159</v>
      </c>
      <c r="E101" s="76"/>
    </row>
    <row r="102" spans="1:5" ht="45" customHeight="1">
      <c r="A102" s="201" t="s">
        <v>36</v>
      </c>
      <c r="B102" s="210" t="s">
        <v>61</v>
      </c>
      <c r="C102" s="211"/>
      <c r="D102" s="212"/>
      <c r="E102" s="123"/>
    </row>
    <row r="103" spans="1:5" ht="15.75">
      <c r="A103" s="201"/>
      <c r="B103" s="100" t="s">
        <v>192</v>
      </c>
      <c r="C103" s="208" t="s">
        <v>0</v>
      </c>
      <c r="D103" s="125" t="s">
        <v>162</v>
      </c>
      <c r="E103" s="134">
        <f>31.63+46.34+57.86</f>
        <v>135.83</v>
      </c>
    </row>
    <row r="104" spans="1:5" ht="15">
      <c r="A104" s="201"/>
      <c r="B104" s="29" t="s">
        <v>148</v>
      </c>
      <c r="C104" s="213"/>
      <c r="D104" s="37" t="s">
        <v>160</v>
      </c>
      <c r="E104" s="102"/>
    </row>
    <row r="105" spans="1:5" ht="15">
      <c r="A105" s="201"/>
      <c r="B105" s="29" t="s">
        <v>157</v>
      </c>
      <c r="C105" s="209"/>
      <c r="D105" s="37" t="s">
        <v>161</v>
      </c>
      <c r="E105" s="76"/>
    </row>
    <row r="106" spans="1:5" ht="44.25" customHeight="1">
      <c r="A106" s="201" t="s">
        <v>37</v>
      </c>
      <c r="B106" s="210" t="s">
        <v>57</v>
      </c>
      <c r="C106" s="211"/>
      <c r="D106" s="212"/>
      <c r="E106" s="123"/>
    </row>
    <row r="107" spans="1:5" ht="15">
      <c r="A107" s="201"/>
      <c r="B107" s="223" t="s">
        <v>192</v>
      </c>
      <c r="C107" s="208" t="s">
        <v>0</v>
      </c>
      <c r="D107" s="121" t="s">
        <v>163</v>
      </c>
      <c r="E107" s="78"/>
    </row>
    <row r="108" spans="1:5" ht="15.75">
      <c r="A108" s="201"/>
      <c r="B108" s="223"/>
      <c r="C108" s="213"/>
      <c r="D108" s="74" t="s">
        <v>164</v>
      </c>
      <c r="E108" s="135">
        <f>100.98+53.28+33+66.86+36.3+23.94</f>
        <v>314.36</v>
      </c>
    </row>
    <row r="109" spans="1:5" ht="15">
      <c r="A109" s="201"/>
      <c r="B109" s="224"/>
      <c r="C109" s="213"/>
      <c r="D109" s="61" t="s">
        <v>165</v>
      </c>
      <c r="E109" s="78"/>
    </row>
    <row r="110" spans="1:5" ht="15">
      <c r="A110" s="201"/>
      <c r="B110" s="222" t="s">
        <v>152</v>
      </c>
      <c r="C110" s="213"/>
      <c r="D110" s="121" t="s">
        <v>166</v>
      </c>
      <c r="E110" s="79"/>
    </row>
    <row r="111" spans="1:5" ht="15">
      <c r="A111" s="201"/>
      <c r="B111" s="224"/>
      <c r="C111" s="213"/>
      <c r="D111" s="61" t="s">
        <v>168</v>
      </c>
      <c r="E111" s="78"/>
    </row>
    <row r="112" spans="1:5" ht="15">
      <c r="A112" s="201"/>
      <c r="B112" s="68" t="s">
        <v>157</v>
      </c>
      <c r="C112" s="209"/>
      <c r="D112" s="121" t="s">
        <v>167</v>
      </c>
      <c r="E112" s="80"/>
    </row>
    <row r="113" spans="1:5" ht="48" customHeight="1">
      <c r="A113" s="201" t="s">
        <v>39</v>
      </c>
      <c r="B113" s="210" t="s">
        <v>400</v>
      </c>
      <c r="C113" s="211"/>
      <c r="D113" s="212"/>
      <c r="E113" s="123"/>
    </row>
    <row r="114" spans="1:5" ht="15.75">
      <c r="A114" s="201"/>
      <c r="B114" s="99" t="s">
        <v>192</v>
      </c>
      <c r="C114" s="208" t="s">
        <v>40</v>
      </c>
      <c r="D114" s="121" t="s">
        <v>305</v>
      </c>
      <c r="E114" s="135">
        <f>1+1+1</f>
        <v>3</v>
      </c>
    </row>
    <row r="115" spans="1:5" ht="15">
      <c r="A115" s="201"/>
      <c r="B115" s="98" t="s">
        <v>148</v>
      </c>
      <c r="C115" s="213"/>
      <c r="D115" s="59" t="s">
        <v>305</v>
      </c>
      <c r="E115" s="79"/>
    </row>
    <row r="116" spans="1:5" ht="15">
      <c r="A116" s="201"/>
      <c r="B116" s="29" t="s">
        <v>157</v>
      </c>
      <c r="C116" s="209"/>
      <c r="D116" s="59" t="s">
        <v>305</v>
      </c>
      <c r="E116" s="76"/>
    </row>
    <row r="117" spans="1:5" ht="51.75" customHeight="1">
      <c r="A117" s="201" t="s">
        <v>62</v>
      </c>
      <c r="B117" s="210" t="s">
        <v>169</v>
      </c>
      <c r="C117" s="211"/>
      <c r="D117" s="212"/>
      <c r="E117" s="123"/>
    </row>
    <row r="118" spans="1:5" ht="15">
      <c r="A118" s="201"/>
      <c r="B118" s="223" t="s">
        <v>192</v>
      </c>
      <c r="C118" s="208" t="s">
        <v>40</v>
      </c>
      <c r="D118" s="121" t="s">
        <v>305</v>
      </c>
      <c r="E118" s="73"/>
    </row>
    <row r="119" spans="1:5" ht="15.75">
      <c r="A119" s="201"/>
      <c r="B119" s="223"/>
      <c r="C119" s="213"/>
      <c r="D119" s="74" t="s">
        <v>303</v>
      </c>
      <c r="E119" s="134">
        <f>1+1+1+1+1+1</f>
        <v>6</v>
      </c>
    </row>
    <row r="120" spans="1:5" ht="15">
      <c r="A120" s="201"/>
      <c r="B120" s="224"/>
      <c r="C120" s="213"/>
      <c r="D120" s="61" t="s">
        <v>304</v>
      </c>
      <c r="E120" s="102"/>
    </row>
    <row r="121" spans="1:5" ht="15">
      <c r="A121" s="201"/>
      <c r="B121" s="98" t="s">
        <v>148</v>
      </c>
      <c r="C121" s="213"/>
      <c r="D121" s="59" t="s">
        <v>306</v>
      </c>
      <c r="E121" s="73"/>
    </row>
    <row r="122" spans="1:5" ht="15">
      <c r="A122" s="201"/>
      <c r="B122" s="29" t="s">
        <v>152</v>
      </c>
      <c r="C122" s="213"/>
      <c r="D122" s="59" t="s">
        <v>307</v>
      </c>
      <c r="E122" s="73"/>
    </row>
    <row r="123" spans="1:5" ht="15">
      <c r="A123" s="201"/>
      <c r="B123" s="29" t="s">
        <v>157</v>
      </c>
      <c r="C123" s="209"/>
      <c r="D123" s="59" t="s">
        <v>305</v>
      </c>
      <c r="E123" s="76"/>
    </row>
    <row r="124" spans="1:5" ht="45" customHeight="1">
      <c r="A124" s="201" t="s">
        <v>398</v>
      </c>
      <c r="B124" s="229" t="s">
        <v>66</v>
      </c>
      <c r="C124" s="230"/>
      <c r="D124" s="231"/>
      <c r="E124" s="123"/>
    </row>
    <row r="125" spans="1:5" ht="15.75">
      <c r="A125" s="201"/>
      <c r="B125" s="100" t="s">
        <v>192</v>
      </c>
      <c r="C125" s="208" t="s">
        <v>40</v>
      </c>
      <c r="D125" s="125" t="s">
        <v>308</v>
      </c>
      <c r="E125" s="134">
        <f>9+5+3+4</f>
        <v>21</v>
      </c>
    </row>
    <row r="126" spans="1:5" ht="15">
      <c r="A126" s="201"/>
      <c r="B126" s="29" t="s">
        <v>148</v>
      </c>
      <c r="C126" s="213"/>
      <c r="D126" s="37" t="s">
        <v>309</v>
      </c>
      <c r="E126" s="102"/>
    </row>
    <row r="127" spans="1:5" ht="15">
      <c r="A127" s="201"/>
      <c r="B127" s="29" t="s">
        <v>152</v>
      </c>
      <c r="C127" s="213"/>
      <c r="D127" s="37" t="s">
        <v>310</v>
      </c>
      <c r="E127" s="73"/>
    </row>
    <row r="128" spans="1:5" ht="15">
      <c r="A128" s="201"/>
      <c r="B128" s="29" t="s">
        <v>157</v>
      </c>
      <c r="C128" s="209"/>
      <c r="D128" s="37" t="s">
        <v>311</v>
      </c>
      <c r="E128" s="76"/>
    </row>
    <row r="129" spans="1:5" ht="15">
      <c r="A129" s="200"/>
      <c r="B129" s="200"/>
      <c r="C129" s="200"/>
      <c r="D129" s="200"/>
      <c r="E129" s="200"/>
    </row>
    <row r="130" spans="1:6" ht="15.75">
      <c r="A130" s="36" t="s">
        <v>288</v>
      </c>
      <c r="B130" s="219" t="s">
        <v>290</v>
      </c>
      <c r="C130" s="219"/>
      <c r="D130" s="219"/>
      <c r="E130" s="219"/>
      <c r="F130" s="5"/>
    </row>
    <row r="131" spans="1:6" ht="15.75">
      <c r="A131" s="36"/>
      <c r="B131" s="219" t="s">
        <v>43</v>
      </c>
      <c r="C131" s="219"/>
      <c r="D131" s="219"/>
      <c r="E131" s="219"/>
      <c r="F131" s="5"/>
    </row>
    <row r="132" spans="1:6" ht="15.75">
      <c r="A132" s="4">
        <v>5</v>
      </c>
      <c r="B132" s="145" t="s">
        <v>46</v>
      </c>
      <c r="C132" s="146"/>
      <c r="D132" s="146"/>
      <c r="E132" s="199"/>
      <c r="F132" s="5"/>
    </row>
    <row r="133" spans="1:5" ht="60" customHeight="1">
      <c r="A133" s="201" t="s">
        <v>45</v>
      </c>
      <c r="B133" s="229" t="s">
        <v>389</v>
      </c>
      <c r="C133" s="230"/>
      <c r="D133" s="231"/>
      <c r="E133" s="135">
        <f>1.15*0.6*1644.76</f>
        <v>1134.88</v>
      </c>
    </row>
    <row r="134" spans="1:5" ht="15">
      <c r="A134" s="201"/>
      <c r="B134" s="38" t="s">
        <v>68</v>
      </c>
      <c r="C134" s="208" t="s">
        <v>19</v>
      </c>
      <c r="D134" s="214" t="s">
        <v>410</v>
      </c>
      <c r="E134" s="79"/>
    </row>
    <row r="135" spans="1:5" ht="15">
      <c r="A135" s="201"/>
      <c r="B135" s="38" t="s">
        <v>67</v>
      </c>
      <c r="C135" s="213"/>
      <c r="D135" s="214"/>
      <c r="E135" s="79"/>
    </row>
    <row r="136" spans="1:5" ht="15.75">
      <c r="A136" s="201"/>
      <c r="B136" s="81" t="s">
        <v>409</v>
      </c>
      <c r="C136" s="209"/>
      <c r="D136" s="214"/>
      <c r="E136" s="80"/>
    </row>
    <row r="137" spans="1:5" ht="43.5" customHeight="1">
      <c r="A137" s="201" t="s">
        <v>80</v>
      </c>
      <c r="B137" s="210" t="s">
        <v>408</v>
      </c>
      <c r="C137" s="211"/>
      <c r="D137" s="212"/>
      <c r="E137" s="123"/>
    </row>
    <row r="138" spans="1:5" ht="24" customHeight="1">
      <c r="A138" s="201"/>
      <c r="B138" s="126" t="s">
        <v>114</v>
      </c>
      <c r="C138" s="208" t="s">
        <v>19</v>
      </c>
      <c r="D138" s="76"/>
      <c r="E138" s="135">
        <f>1.15*1*1*139</f>
        <v>159.85</v>
      </c>
    </row>
    <row r="139" spans="1:5" ht="15">
      <c r="A139" s="201"/>
      <c r="B139" s="38" t="s">
        <v>68</v>
      </c>
      <c r="C139" s="213"/>
      <c r="D139" s="214" t="s">
        <v>312</v>
      </c>
      <c r="E139" s="79"/>
    </row>
    <row r="140" spans="1:5" ht="15">
      <c r="A140" s="201"/>
      <c r="B140" s="38" t="s">
        <v>98</v>
      </c>
      <c r="C140" s="213"/>
      <c r="D140" s="214"/>
      <c r="E140" s="79"/>
    </row>
    <row r="141" spans="1:5" ht="15">
      <c r="A141" s="201"/>
      <c r="B141" s="38" t="s">
        <v>99</v>
      </c>
      <c r="C141" s="213"/>
      <c r="D141" s="214"/>
      <c r="E141" s="78"/>
    </row>
    <row r="142" spans="1:5" ht="15.75">
      <c r="A142" s="201"/>
      <c r="B142" s="81" t="s">
        <v>246</v>
      </c>
      <c r="C142" s="209"/>
      <c r="D142" s="214"/>
      <c r="E142" s="80"/>
    </row>
    <row r="143" spans="1:5" ht="63" customHeight="1">
      <c r="A143" s="201" t="s">
        <v>81</v>
      </c>
      <c r="B143" s="210" t="s">
        <v>415</v>
      </c>
      <c r="C143" s="211"/>
      <c r="D143" s="212"/>
      <c r="E143" s="123"/>
    </row>
    <row r="144" spans="1:5" ht="15.75">
      <c r="A144" s="201"/>
      <c r="B144" s="127" t="s">
        <v>59</v>
      </c>
      <c r="C144" s="208" t="s">
        <v>19</v>
      </c>
      <c r="D144" s="204" t="s">
        <v>411</v>
      </c>
      <c r="E144" s="135">
        <f>0.1*0.6*1644.76</f>
        <v>98.69</v>
      </c>
    </row>
    <row r="145" spans="1:5" ht="15">
      <c r="A145" s="201"/>
      <c r="B145" s="38" t="s">
        <v>69</v>
      </c>
      <c r="C145" s="213"/>
      <c r="D145" s="214"/>
      <c r="E145" s="79"/>
    </row>
    <row r="146" spans="1:5" ht="15.75">
      <c r="A146" s="201"/>
      <c r="B146" s="81" t="s">
        <v>409</v>
      </c>
      <c r="C146" s="209"/>
      <c r="D146" s="214"/>
      <c r="E146" s="80"/>
    </row>
    <row r="147" spans="1:5" ht="45" customHeight="1">
      <c r="A147" s="201" t="s">
        <v>97</v>
      </c>
      <c r="B147" s="210" t="s">
        <v>392</v>
      </c>
      <c r="C147" s="211"/>
      <c r="D147" s="212"/>
      <c r="E147" s="123"/>
    </row>
    <row r="148" spans="1:5" ht="15.75">
      <c r="A148" s="201"/>
      <c r="B148" s="126" t="s">
        <v>115</v>
      </c>
      <c r="C148" s="208" t="s">
        <v>19</v>
      </c>
      <c r="D148" s="76"/>
      <c r="E148" s="73"/>
    </row>
    <row r="149" spans="1:5" ht="15" customHeight="1">
      <c r="A149" s="201"/>
      <c r="B149" s="38" t="s">
        <v>102</v>
      </c>
      <c r="C149" s="213"/>
      <c r="D149" s="215" t="s">
        <v>412</v>
      </c>
      <c r="E149" s="73"/>
    </row>
    <row r="150" spans="1:5" ht="15">
      <c r="A150" s="201"/>
      <c r="B150" s="38" t="s">
        <v>69</v>
      </c>
      <c r="C150" s="213"/>
      <c r="D150" s="215"/>
      <c r="E150" s="73"/>
    </row>
    <row r="151" spans="1:5" ht="15.75">
      <c r="A151" s="201"/>
      <c r="B151" s="81" t="s">
        <v>409</v>
      </c>
      <c r="C151" s="213"/>
      <c r="D151" s="215"/>
      <c r="E151" s="73"/>
    </row>
    <row r="152" spans="1:5" ht="24" customHeight="1">
      <c r="A152" s="201"/>
      <c r="B152" s="38" t="s">
        <v>70</v>
      </c>
      <c r="C152" s="213"/>
      <c r="D152" s="215"/>
      <c r="E152" s="134">
        <f>1105.82+114.65</f>
        <v>1220.47</v>
      </c>
    </row>
    <row r="153" spans="1:5" ht="24" customHeight="1">
      <c r="A153" s="201"/>
      <c r="B153" s="81" t="s">
        <v>114</v>
      </c>
      <c r="C153" s="213"/>
      <c r="D153" s="216" t="s">
        <v>313</v>
      </c>
      <c r="E153" s="102"/>
    </row>
    <row r="154" spans="1:5" ht="15">
      <c r="A154" s="201"/>
      <c r="B154" s="38" t="s">
        <v>102</v>
      </c>
      <c r="C154" s="213"/>
      <c r="D154" s="217"/>
      <c r="E154" s="73"/>
    </row>
    <row r="155" spans="1:5" ht="15">
      <c r="A155" s="201"/>
      <c r="B155" s="38" t="s">
        <v>98</v>
      </c>
      <c r="C155" s="213"/>
      <c r="D155" s="217"/>
      <c r="E155" s="73"/>
    </row>
    <row r="156" spans="1:5" ht="15">
      <c r="A156" s="201"/>
      <c r="B156" s="38" t="s">
        <v>100</v>
      </c>
      <c r="C156" s="213"/>
      <c r="D156" s="217"/>
      <c r="E156" s="73"/>
    </row>
    <row r="157" spans="1:5" ht="24" customHeight="1">
      <c r="A157" s="201"/>
      <c r="B157" s="38" t="s">
        <v>101</v>
      </c>
      <c r="C157" s="213"/>
      <c r="D157" s="217"/>
      <c r="E157" s="73"/>
    </row>
    <row r="158" spans="1:5" ht="24" customHeight="1">
      <c r="A158" s="201"/>
      <c r="B158" s="81" t="s">
        <v>246</v>
      </c>
      <c r="C158" s="209"/>
      <c r="D158" s="218"/>
      <c r="E158" s="76"/>
    </row>
    <row r="159" spans="1:5" ht="15">
      <c r="A159" s="200"/>
      <c r="B159" s="200"/>
      <c r="C159" s="200"/>
      <c r="D159" s="200"/>
      <c r="E159" s="200"/>
    </row>
    <row r="160" spans="1:6" ht="15.75">
      <c r="A160" s="4">
        <v>6</v>
      </c>
      <c r="B160" s="145" t="s">
        <v>47</v>
      </c>
      <c r="C160" s="146"/>
      <c r="D160" s="146"/>
      <c r="E160" s="199"/>
      <c r="F160" s="5"/>
    </row>
    <row r="161" spans="1:5" ht="56.25" customHeight="1">
      <c r="A161" s="201" t="s">
        <v>48</v>
      </c>
      <c r="B161" s="210" t="s">
        <v>176</v>
      </c>
      <c r="C161" s="211"/>
      <c r="D161" s="212"/>
      <c r="E161" s="123"/>
    </row>
    <row r="162" spans="1:7" ht="60.75">
      <c r="A162" s="201"/>
      <c r="B162" s="100" t="s">
        <v>192</v>
      </c>
      <c r="C162" s="208" t="s">
        <v>0</v>
      </c>
      <c r="D162" s="120" t="s">
        <v>183</v>
      </c>
      <c r="E162" s="78"/>
      <c r="G162" s="9"/>
    </row>
    <row r="163" spans="1:7" ht="30.75">
      <c r="A163" s="201"/>
      <c r="B163" s="29" t="s">
        <v>170</v>
      </c>
      <c r="C163" s="213"/>
      <c r="D163" s="56" t="s">
        <v>184</v>
      </c>
      <c r="E163" s="79"/>
      <c r="G163" s="9"/>
    </row>
    <row r="164" spans="1:5" ht="15.75">
      <c r="A164" s="201"/>
      <c r="B164" s="29" t="s">
        <v>171</v>
      </c>
      <c r="C164" s="213"/>
      <c r="D164" s="56" t="s">
        <v>185</v>
      </c>
      <c r="E164" s="79"/>
    </row>
    <row r="165" spans="1:5" ht="30.75">
      <c r="A165" s="201"/>
      <c r="B165" s="29" t="s">
        <v>172</v>
      </c>
      <c r="C165" s="213"/>
      <c r="D165" s="56" t="s">
        <v>186</v>
      </c>
      <c r="E165" s="75"/>
    </row>
    <row r="166" spans="1:5" ht="30.75">
      <c r="A166" s="201"/>
      <c r="B166" s="29" t="s">
        <v>173</v>
      </c>
      <c r="C166" s="213"/>
      <c r="D166" s="56" t="s">
        <v>187</v>
      </c>
      <c r="E166" s="134">
        <f>410.95+117.52+68.82+73.6+72.86+227.07+65.09+145.3+103.16+183.45+176.94</f>
        <v>1644.76</v>
      </c>
    </row>
    <row r="167" spans="1:5" ht="45.75">
      <c r="A167" s="201"/>
      <c r="B167" s="29" t="s">
        <v>195</v>
      </c>
      <c r="C167" s="213"/>
      <c r="D167" s="56" t="s">
        <v>196</v>
      </c>
      <c r="E167" s="102"/>
    </row>
    <row r="168" spans="1:5" ht="15.75">
      <c r="A168" s="201"/>
      <c r="B168" s="29" t="s">
        <v>174</v>
      </c>
      <c r="C168" s="213"/>
      <c r="D168" s="56" t="s">
        <v>188</v>
      </c>
      <c r="E168" s="78"/>
    </row>
    <row r="169" spans="1:5" ht="45.75">
      <c r="A169" s="201"/>
      <c r="B169" s="29" t="s">
        <v>148</v>
      </c>
      <c r="C169" s="213"/>
      <c r="D169" s="56" t="s">
        <v>380</v>
      </c>
      <c r="E169" s="78"/>
    </row>
    <row r="170" spans="1:5" ht="30.75">
      <c r="A170" s="201"/>
      <c r="B170" s="29" t="s">
        <v>152</v>
      </c>
      <c r="C170" s="213"/>
      <c r="D170" s="56" t="s">
        <v>189</v>
      </c>
      <c r="E170" s="78"/>
    </row>
    <row r="171" spans="1:5" ht="45.75">
      <c r="A171" s="201"/>
      <c r="B171" s="29" t="s">
        <v>157</v>
      </c>
      <c r="C171" s="213"/>
      <c r="D171" s="56" t="s">
        <v>190</v>
      </c>
      <c r="E171" s="78"/>
    </row>
    <row r="172" spans="1:8" ht="30.75">
      <c r="A172" s="201"/>
      <c r="B172" s="29" t="s">
        <v>175</v>
      </c>
      <c r="C172" s="209"/>
      <c r="D172" s="56" t="s">
        <v>191</v>
      </c>
      <c r="E172" s="80"/>
      <c r="H172" s="9"/>
    </row>
    <row r="173" spans="1:5" ht="15">
      <c r="A173" s="200"/>
      <c r="B173" s="200"/>
      <c r="C173" s="200"/>
      <c r="D173" s="200"/>
      <c r="E173" s="200"/>
    </row>
    <row r="174" spans="1:6" ht="15.75">
      <c r="A174" s="4">
        <v>7</v>
      </c>
      <c r="B174" s="145" t="s">
        <v>50</v>
      </c>
      <c r="C174" s="146"/>
      <c r="D174" s="146"/>
      <c r="E174" s="199"/>
      <c r="F174" s="5"/>
    </row>
    <row r="175" spans="1:5" ht="66" customHeight="1">
      <c r="A175" s="201" t="s">
        <v>49</v>
      </c>
      <c r="B175" s="210" t="s">
        <v>179</v>
      </c>
      <c r="C175" s="211"/>
      <c r="D175" s="212"/>
      <c r="E175" s="123"/>
    </row>
    <row r="176" spans="1:7" ht="30">
      <c r="A176" s="201"/>
      <c r="B176" s="100" t="s">
        <v>192</v>
      </c>
      <c r="C176" s="208" t="s">
        <v>40</v>
      </c>
      <c r="D176" s="120" t="s">
        <v>193</v>
      </c>
      <c r="E176" s="79"/>
      <c r="G176" s="9"/>
    </row>
    <row r="177" spans="1:7" ht="15">
      <c r="A177" s="201"/>
      <c r="B177" s="29" t="s">
        <v>170</v>
      </c>
      <c r="C177" s="213"/>
      <c r="D177" s="56" t="s">
        <v>314</v>
      </c>
      <c r="E177" s="79"/>
      <c r="G177" s="9"/>
    </row>
    <row r="178" spans="1:5" ht="15.75">
      <c r="A178" s="201"/>
      <c r="B178" s="29" t="s">
        <v>171</v>
      </c>
      <c r="C178" s="213"/>
      <c r="D178" s="56" t="s">
        <v>315</v>
      </c>
      <c r="E178" s="135">
        <f>8+1+1+2+1+7+1+3+1+3+2</f>
        <v>30</v>
      </c>
    </row>
    <row r="179" spans="1:5" ht="15">
      <c r="A179" s="201"/>
      <c r="B179" s="29" t="s">
        <v>172</v>
      </c>
      <c r="C179" s="213"/>
      <c r="D179" s="56" t="s">
        <v>316</v>
      </c>
      <c r="E179" s="78"/>
    </row>
    <row r="180" spans="1:5" ht="15">
      <c r="A180" s="201"/>
      <c r="B180" s="29" t="s">
        <v>173</v>
      </c>
      <c r="C180" s="213"/>
      <c r="D180" s="56" t="s">
        <v>317</v>
      </c>
      <c r="E180" s="79"/>
    </row>
    <row r="181" spans="1:5" ht="15">
      <c r="A181" s="201"/>
      <c r="B181" s="29" t="s">
        <v>195</v>
      </c>
      <c r="C181" s="213"/>
      <c r="D181" s="56" t="s">
        <v>318</v>
      </c>
      <c r="E181" s="78"/>
    </row>
    <row r="182" spans="1:5" ht="15">
      <c r="A182" s="201"/>
      <c r="B182" s="29" t="s">
        <v>174</v>
      </c>
      <c r="C182" s="213"/>
      <c r="D182" s="56" t="s">
        <v>319</v>
      </c>
      <c r="E182" s="78"/>
    </row>
    <row r="183" spans="1:5" ht="15">
      <c r="A183" s="201"/>
      <c r="B183" s="29" t="s">
        <v>148</v>
      </c>
      <c r="C183" s="213"/>
      <c r="D183" s="56" t="s">
        <v>320</v>
      </c>
      <c r="E183" s="78"/>
    </row>
    <row r="184" spans="1:5" ht="15">
      <c r="A184" s="201"/>
      <c r="B184" s="29" t="s">
        <v>152</v>
      </c>
      <c r="C184" s="213"/>
      <c r="D184" s="56" t="s">
        <v>321</v>
      </c>
      <c r="E184" s="78"/>
    </row>
    <row r="185" spans="1:5" ht="15">
      <c r="A185" s="201"/>
      <c r="B185" s="29" t="s">
        <v>157</v>
      </c>
      <c r="C185" s="213"/>
      <c r="D185" s="56" t="s">
        <v>322</v>
      </c>
      <c r="E185" s="78"/>
    </row>
    <row r="186" spans="1:8" ht="15">
      <c r="A186" s="201"/>
      <c r="B186" s="29" t="s">
        <v>175</v>
      </c>
      <c r="C186" s="209"/>
      <c r="D186" s="56" t="s">
        <v>323</v>
      </c>
      <c r="E186" s="80"/>
      <c r="H186" s="9"/>
    </row>
    <row r="187" spans="1:5" ht="60.75" customHeight="1">
      <c r="A187" s="201" t="s">
        <v>82</v>
      </c>
      <c r="B187" s="210" t="s">
        <v>178</v>
      </c>
      <c r="C187" s="211"/>
      <c r="D187" s="212"/>
      <c r="E187" s="123"/>
    </row>
    <row r="188" spans="1:7" ht="30">
      <c r="A188" s="201"/>
      <c r="B188" s="100" t="s">
        <v>192</v>
      </c>
      <c r="C188" s="213" t="s">
        <v>40</v>
      </c>
      <c r="D188" s="120" t="s">
        <v>193</v>
      </c>
      <c r="E188" s="79"/>
      <c r="G188" s="9"/>
    </row>
    <row r="189" spans="1:7" ht="15">
      <c r="A189" s="201"/>
      <c r="B189" s="29" t="s">
        <v>170</v>
      </c>
      <c r="C189" s="213"/>
      <c r="D189" s="56" t="s">
        <v>314</v>
      </c>
      <c r="E189" s="79"/>
      <c r="G189" s="9"/>
    </row>
    <row r="190" spans="1:5" ht="15.75">
      <c r="A190" s="201"/>
      <c r="B190" s="29" t="s">
        <v>171</v>
      </c>
      <c r="C190" s="213"/>
      <c r="D190" s="56" t="s">
        <v>315</v>
      </c>
      <c r="E190" s="135">
        <f>8+1+1+2+1+7+1+3+1+3+2</f>
        <v>30</v>
      </c>
    </row>
    <row r="191" spans="1:5" ht="15">
      <c r="A191" s="201"/>
      <c r="B191" s="29" t="s">
        <v>172</v>
      </c>
      <c r="C191" s="213"/>
      <c r="D191" s="56" t="s">
        <v>316</v>
      </c>
      <c r="E191" s="78"/>
    </row>
    <row r="192" spans="1:5" ht="15">
      <c r="A192" s="201"/>
      <c r="B192" s="29" t="s">
        <v>173</v>
      </c>
      <c r="C192" s="213"/>
      <c r="D192" s="56" t="s">
        <v>317</v>
      </c>
      <c r="E192" s="79"/>
    </row>
    <row r="193" spans="1:5" ht="15">
      <c r="A193" s="201"/>
      <c r="B193" s="29" t="s">
        <v>195</v>
      </c>
      <c r="C193" s="213"/>
      <c r="D193" s="56" t="s">
        <v>318</v>
      </c>
      <c r="E193" s="78"/>
    </row>
    <row r="194" spans="1:5" ht="15">
      <c r="A194" s="201"/>
      <c r="B194" s="29" t="s">
        <v>174</v>
      </c>
      <c r="C194" s="213"/>
      <c r="D194" s="56" t="s">
        <v>319</v>
      </c>
      <c r="E194" s="78"/>
    </row>
    <row r="195" spans="1:5" ht="15">
      <c r="A195" s="201"/>
      <c r="B195" s="29" t="s">
        <v>148</v>
      </c>
      <c r="C195" s="213"/>
      <c r="D195" s="56" t="s">
        <v>320</v>
      </c>
      <c r="E195" s="78"/>
    </row>
    <row r="196" spans="1:5" ht="15">
      <c r="A196" s="201"/>
      <c r="B196" s="29" t="s">
        <v>152</v>
      </c>
      <c r="C196" s="213"/>
      <c r="D196" s="56" t="s">
        <v>321</v>
      </c>
      <c r="E196" s="78"/>
    </row>
    <row r="197" spans="1:5" ht="15">
      <c r="A197" s="201"/>
      <c r="B197" s="29" t="s">
        <v>157</v>
      </c>
      <c r="C197" s="213"/>
      <c r="D197" s="56" t="s">
        <v>322</v>
      </c>
      <c r="E197" s="78"/>
    </row>
    <row r="198" spans="1:8" ht="15">
      <c r="A198" s="201"/>
      <c r="B198" s="29" t="s">
        <v>175</v>
      </c>
      <c r="C198" s="209"/>
      <c r="D198" s="56" t="s">
        <v>323</v>
      </c>
      <c r="E198" s="80"/>
      <c r="H198" s="9"/>
    </row>
    <row r="199" spans="1:5" ht="15">
      <c r="A199" s="200"/>
      <c r="B199" s="200"/>
      <c r="C199" s="200"/>
      <c r="D199" s="200"/>
      <c r="E199" s="200"/>
    </row>
    <row r="200" spans="1:6" ht="15.75">
      <c r="A200" s="4">
        <v>8</v>
      </c>
      <c r="B200" s="145" t="s">
        <v>54</v>
      </c>
      <c r="C200" s="146"/>
      <c r="D200" s="146"/>
      <c r="E200" s="199"/>
      <c r="F200" s="5"/>
    </row>
    <row r="201" spans="1:5" ht="61.5" customHeight="1">
      <c r="A201" s="201" t="s">
        <v>51</v>
      </c>
      <c r="B201" s="210" t="s">
        <v>194</v>
      </c>
      <c r="C201" s="211"/>
      <c r="D201" s="212"/>
      <c r="E201" s="123"/>
    </row>
    <row r="202" spans="1:11" ht="15">
      <c r="A202" s="201"/>
      <c r="B202" s="100" t="s">
        <v>217</v>
      </c>
      <c r="C202" s="213" t="s">
        <v>40</v>
      </c>
      <c r="D202" s="120" t="s">
        <v>245</v>
      </c>
      <c r="E202" s="78"/>
      <c r="G202" s="189"/>
      <c r="H202" s="189"/>
      <c r="I202" s="189"/>
      <c r="J202" s="189"/>
      <c r="K202" s="189"/>
    </row>
    <row r="203" spans="1:7" ht="15">
      <c r="A203" s="201"/>
      <c r="B203" s="29" t="s">
        <v>192</v>
      </c>
      <c r="C203" s="213"/>
      <c r="D203" s="56" t="s">
        <v>295</v>
      </c>
      <c r="E203" s="78"/>
      <c r="G203" s="9"/>
    </row>
    <row r="204" spans="1:7" ht="15">
      <c r="A204" s="201"/>
      <c r="B204" s="29" t="s">
        <v>170</v>
      </c>
      <c r="C204" s="213"/>
      <c r="D204" s="56" t="s">
        <v>197</v>
      </c>
      <c r="E204" s="79"/>
      <c r="G204" s="9"/>
    </row>
    <row r="205" spans="1:5" ht="15.75">
      <c r="A205" s="201"/>
      <c r="B205" s="29" t="s">
        <v>171</v>
      </c>
      <c r="C205" s="213"/>
      <c r="D205" s="56" t="s">
        <v>198</v>
      </c>
      <c r="E205" s="135">
        <f>31+22+11+3+4+4+11+3+13+8+21+8</f>
        <v>139</v>
      </c>
    </row>
    <row r="206" spans="1:5" ht="15">
      <c r="A206" s="201"/>
      <c r="B206" s="29" t="s">
        <v>172</v>
      </c>
      <c r="C206" s="213"/>
      <c r="D206" s="56" t="s">
        <v>199</v>
      </c>
      <c r="E206" s="78"/>
    </row>
    <row r="207" spans="1:5" ht="15">
      <c r="A207" s="201"/>
      <c r="B207" s="29" t="s">
        <v>173</v>
      </c>
      <c r="C207" s="213"/>
      <c r="D207" s="56" t="s">
        <v>200</v>
      </c>
      <c r="E207" s="78"/>
    </row>
    <row r="208" spans="1:5" ht="15">
      <c r="A208" s="201"/>
      <c r="B208" s="29" t="s">
        <v>195</v>
      </c>
      <c r="C208" s="213"/>
      <c r="D208" s="56" t="s">
        <v>201</v>
      </c>
      <c r="E208" s="79"/>
    </row>
    <row r="209" spans="1:5" ht="15">
      <c r="A209" s="201"/>
      <c r="B209" s="29" t="s">
        <v>174</v>
      </c>
      <c r="C209" s="213"/>
      <c r="D209" s="56" t="s">
        <v>202</v>
      </c>
      <c r="E209" s="78"/>
    </row>
    <row r="210" spans="1:5" ht="15">
      <c r="A210" s="201"/>
      <c r="B210" s="29" t="s">
        <v>148</v>
      </c>
      <c r="C210" s="213"/>
      <c r="D210" s="56" t="s">
        <v>203</v>
      </c>
      <c r="E210" s="78"/>
    </row>
    <row r="211" spans="1:5" ht="15">
      <c r="A211" s="201"/>
      <c r="B211" s="29" t="s">
        <v>152</v>
      </c>
      <c r="C211" s="213"/>
      <c r="D211" s="56" t="s">
        <v>204</v>
      </c>
      <c r="E211" s="78"/>
    </row>
    <row r="212" spans="1:5" ht="15">
      <c r="A212" s="201"/>
      <c r="B212" s="29" t="s">
        <v>157</v>
      </c>
      <c r="C212" s="213"/>
      <c r="D212" s="56" t="s">
        <v>205</v>
      </c>
      <c r="E212" s="78"/>
    </row>
    <row r="213" spans="1:8" ht="15">
      <c r="A213" s="201"/>
      <c r="B213" s="29" t="s">
        <v>175</v>
      </c>
      <c r="C213" s="209"/>
      <c r="D213" s="56" t="s">
        <v>296</v>
      </c>
      <c r="E213" s="80"/>
      <c r="H213" s="9"/>
    </row>
    <row r="214" spans="1:5" ht="45" customHeight="1">
      <c r="A214" s="201" t="s">
        <v>77</v>
      </c>
      <c r="B214" s="210" t="s">
        <v>233</v>
      </c>
      <c r="C214" s="211"/>
      <c r="D214" s="212"/>
      <c r="E214" s="123"/>
    </row>
    <row r="215" spans="1:11" ht="15">
      <c r="A215" s="201"/>
      <c r="B215" s="100" t="s">
        <v>217</v>
      </c>
      <c r="C215" s="208" t="s">
        <v>40</v>
      </c>
      <c r="D215" s="120" t="s">
        <v>245</v>
      </c>
      <c r="E215" s="78"/>
      <c r="G215" s="189"/>
      <c r="H215" s="189"/>
      <c r="I215" s="189"/>
      <c r="J215" s="189"/>
      <c r="K215" s="189"/>
    </row>
    <row r="216" spans="1:7" ht="15">
      <c r="A216" s="201"/>
      <c r="B216" s="29" t="s">
        <v>192</v>
      </c>
      <c r="C216" s="213"/>
      <c r="D216" s="56" t="s">
        <v>295</v>
      </c>
      <c r="E216" s="78"/>
      <c r="G216" s="9"/>
    </row>
    <row r="217" spans="1:7" ht="15">
      <c r="A217" s="201"/>
      <c r="B217" s="29" t="s">
        <v>170</v>
      </c>
      <c r="C217" s="213"/>
      <c r="D217" s="56" t="s">
        <v>197</v>
      </c>
      <c r="E217" s="79"/>
      <c r="G217" s="9"/>
    </row>
    <row r="218" spans="1:5" ht="15">
      <c r="A218" s="201"/>
      <c r="B218" s="29" t="s">
        <v>171</v>
      </c>
      <c r="C218" s="213"/>
      <c r="D218" s="56" t="s">
        <v>198</v>
      </c>
      <c r="E218" s="78"/>
    </row>
    <row r="219" spans="1:5" ht="15.75">
      <c r="A219" s="201"/>
      <c r="B219" s="29" t="s">
        <v>172</v>
      </c>
      <c r="C219" s="213"/>
      <c r="D219" s="56" t="s">
        <v>199</v>
      </c>
      <c r="E219" s="135">
        <f>31+22+11+3+4+4+11+3+13+8+21+8</f>
        <v>139</v>
      </c>
    </row>
    <row r="220" spans="1:5" ht="15">
      <c r="A220" s="201"/>
      <c r="B220" s="29" t="s">
        <v>173</v>
      </c>
      <c r="C220" s="213"/>
      <c r="D220" s="56" t="s">
        <v>200</v>
      </c>
      <c r="E220" s="79"/>
    </row>
    <row r="221" spans="1:5" ht="15">
      <c r="A221" s="201"/>
      <c r="B221" s="29" t="s">
        <v>195</v>
      </c>
      <c r="C221" s="213"/>
      <c r="D221" s="56" t="s">
        <v>201</v>
      </c>
      <c r="E221" s="78"/>
    </row>
    <row r="222" spans="1:5" ht="15">
      <c r="A222" s="201"/>
      <c r="B222" s="29" t="s">
        <v>174</v>
      </c>
      <c r="C222" s="213"/>
      <c r="D222" s="56" t="s">
        <v>202</v>
      </c>
      <c r="E222" s="78"/>
    </row>
    <row r="223" spans="1:5" ht="15">
      <c r="A223" s="201"/>
      <c r="B223" s="29" t="s">
        <v>148</v>
      </c>
      <c r="C223" s="213"/>
      <c r="D223" s="56" t="s">
        <v>203</v>
      </c>
      <c r="E223" s="78"/>
    </row>
    <row r="224" spans="1:5" ht="15">
      <c r="A224" s="201"/>
      <c r="B224" s="29" t="s">
        <v>152</v>
      </c>
      <c r="C224" s="213"/>
      <c r="D224" s="56" t="s">
        <v>204</v>
      </c>
      <c r="E224" s="78"/>
    </row>
    <row r="225" spans="1:5" ht="15">
      <c r="A225" s="201"/>
      <c r="B225" s="29" t="s">
        <v>157</v>
      </c>
      <c r="C225" s="213"/>
      <c r="D225" s="56" t="s">
        <v>205</v>
      </c>
      <c r="E225" s="78"/>
    </row>
    <row r="226" spans="1:8" ht="15">
      <c r="A226" s="201"/>
      <c r="B226" s="29" t="s">
        <v>175</v>
      </c>
      <c r="C226" s="209"/>
      <c r="D226" s="56" t="s">
        <v>296</v>
      </c>
      <c r="E226" s="80"/>
      <c r="H226" s="9"/>
    </row>
    <row r="227" spans="1:5" ht="94.5" customHeight="1">
      <c r="A227" s="201" t="s">
        <v>86</v>
      </c>
      <c r="B227" s="210" t="s">
        <v>181</v>
      </c>
      <c r="C227" s="211"/>
      <c r="D227" s="212"/>
      <c r="E227" s="123"/>
    </row>
    <row r="228" spans="1:11" ht="15">
      <c r="A228" s="201"/>
      <c r="B228" s="100" t="s">
        <v>217</v>
      </c>
      <c r="C228" s="213" t="s">
        <v>40</v>
      </c>
      <c r="D228" s="120" t="s">
        <v>245</v>
      </c>
      <c r="E228" s="78"/>
      <c r="G228" s="189"/>
      <c r="H228" s="189"/>
      <c r="I228" s="189"/>
      <c r="J228" s="189"/>
      <c r="K228" s="189"/>
    </row>
    <row r="229" spans="1:7" ht="15">
      <c r="A229" s="201"/>
      <c r="B229" s="29" t="s">
        <v>192</v>
      </c>
      <c r="C229" s="213"/>
      <c r="D229" s="56" t="s">
        <v>295</v>
      </c>
      <c r="E229" s="78"/>
      <c r="G229" s="9"/>
    </row>
    <row r="230" spans="1:7" ht="15.75">
      <c r="A230" s="201"/>
      <c r="B230" s="29" t="s">
        <v>170</v>
      </c>
      <c r="C230" s="213"/>
      <c r="D230" s="56" t="s">
        <v>197</v>
      </c>
      <c r="E230" s="135">
        <f>31+22+11+3+4+4+11+3+13+8+21+8</f>
        <v>139</v>
      </c>
      <c r="G230" s="9"/>
    </row>
    <row r="231" spans="1:5" ht="15">
      <c r="A231" s="201"/>
      <c r="B231" s="29" t="s">
        <v>171</v>
      </c>
      <c r="C231" s="213"/>
      <c r="D231" s="56" t="s">
        <v>198</v>
      </c>
      <c r="E231" s="78"/>
    </row>
    <row r="232" spans="1:5" ht="15">
      <c r="A232" s="201"/>
      <c r="B232" s="29" t="s">
        <v>172</v>
      </c>
      <c r="C232" s="213"/>
      <c r="D232" s="56" t="s">
        <v>199</v>
      </c>
      <c r="E232" s="78"/>
    </row>
    <row r="233" spans="1:5" ht="15">
      <c r="A233" s="201"/>
      <c r="B233" s="29" t="s">
        <v>173</v>
      </c>
      <c r="C233" s="213"/>
      <c r="D233" s="56" t="s">
        <v>200</v>
      </c>
      <c r="E233" s="79"/>
    </row>
    <row r="234" spans="1:5" ht="15">
      <c r="A234" s="201"/>
      <c r="B234" s="29" t="s">
        <v>195</v>
      </c>
      <c r="C234" s="213"/>
      <c r="D234" s="56" t="s">
        <v>201</v>
      </c>
      <c r="E234" s="78"/>
    </row>
    <row r="235" spans="1:5" ht="15">
      <c r="A235" s="201"/>
      <c r="B235" s="29" t="s">
        <v>174</v>
      </c>
      <c r="C235" s="213"/>
      <c r="D235" s="56" t="s">
        <v>202</v>
      </c>
      <c r="E235" s="78"/>
    </row>
    <row r="236" spans="1:5" ht="15">
      <c r="A236" s="201"/>
      <c r="B236" s="29" t="s">
        <v>148</v>
      </c>
      <c r="C236" s="213"/>
      <c r="D236" s="56" t="s">
        <v>203</v>
      </c>
      <c r="E236" s="78"/>
    </row>
    <row r="237" spans="1:5" ht="15">
      <c r="A237" s="201"/>
      <c r="B237" s="29" t="s">
        <v>152</v>
      </c>
      <c r="C237" s="213"/>
      <c r="D237" s="56" t="s">
        <v>204</v>
      </c>
      <c r="E237" s="78"/>
    </row>
    <row r="238" spans="1:5" ht="15">
      <c r="A238" s="201"/>
      <c r="B238" s="29" t="s">
        <v>157</v>
      </c>
      <c r="C238" s="213"/>
      <c r="D238" s="56" t="s">
        <v>205</v>
      </c>
      <c r="E238" s="78"/>
    </row>
    <row r="239" spans="1:8" ht="15">
      <c r="A239" s="201"/>
      <c r="B239" s="29" t="s">
        <v>175</v>
      </c>
      <c r="C239" s="209"/>
      <c r="D239" s="56" t="s">
        <v>296</v>
      </c>
      <c r="E239" s="80"/>
      <c r="H239" s="9"/>
    </row>
    <row r="240" spans="1:6" ht="15.75">
      <c r="A240" s="4" t="s">
        <v>51</v>
      </c>
      <c r="B240" s="145" t="s">
        <v>258</v>
      </c>
      <c r="C240" s="146"/>
      <c r="D240" s="146"/>
      <c r="E240" s="199"/>
      <c r="F240" s="5"/>
    </row>
    <row r="241" spans="1:5" ht="58.5" customHeight="1">
      <c r="A241" s="201" t="s">
        <v>259</v>
      </c>
      <c r="B241" s="210" t="s">
        <v>386</v>
      </c>
      <c r="C241" s="211"/>
      <c r="D241" s="212"/>
      <c r="E241" s="123"/>
    </row>
    <row r="242" spans="1:11" ht="15">
      <c r="A242" s="201"/>
      <c r="B242" s="100" t="s">
        <v>217</v>
      </c>
      <c r="C242" s="208" t="s">
        <v>0</v>
      </c>
      <c r="D242" s="120" t="s">
        <v>262</v>
      </c>
      <c r="E242" s="78"/>
      <c r="G242" s="189"/>
      <c r="H242" s="189"/>
      <c r="I242" s="189"/>
      <c r="J242" s="189"/>
      <c r="K242" s="189"/>
    </row>
    <row r="243" spans="1:7" ht="15">
      <c r="A243" s="201"/>
      <c r="B243" s="29" t="s">
        <v>192</v>
      </c>
      <c r="C243" s="213"/>
      <c r="D243" s="56" t="s">
        <v>297</v>
      </c>
      <c r="E243" s="78"/>
      <c r="G243" s="9"/>
    </row>
    <row r="244" spans="1:7" ht="15">
      <c r="A244" s="201"/>
      <c r="B244" s="29" t="s">
        <v>170</v>
      </c>
      <c r="C244" s="213"/>
      <c r="D244" s="56" t="s">
        <v>263</v>
      </c>
      <c r="E244" s="79"/>
      <c r="G244" s="9"/>
    </row>
    <row r="245" spans="1:5" ht="15.75">
      <c r="A245" s="201"/>
      <c r="B245" s="29" t="s">
        <v>171</v>
      </c>
      <c r="C245" s="213"/>
      <c r="D245" s="56" t="s">
        <v>264</v>
      </c>
      <c r="E245" s="135">
        <f>77.5+44+22+6+8+8+22+6+26+16+42+16</f>
        <v>293.5</v>
      </c>
    </row>
    <row r="246" spans="1:5" ht="15">
      <c r="A246" s="201"/>
      <c r="B246" s="29" t="s">
        <v>172</v>
      </c>
      <c r="C246" s="213"/>
      <c r="D246" s="56" t="s">
        <v>265</v>
      </c>
      <c r="E246" s="79"/>
    </row>
    <row r="247" spans="1:5" ht="15">
      <c r="A247" s="201"/>
      <c r="B247" s="29" t="s">
        <v>173</v>
      </c>
      <c r="C247" s="213"/>
      <c r="D247" s="56" t="s">
        <v>266</v>
      </c>
      <c r="E247" s="79"/>
    </row>
    <row r="248" spans="1:5" ht="15">
      <c r="A248" s="201"/>
      <c r="B248" s="29" t="s">
        <v>195</v>
      </c>
      <c r="C248" s="213"/>
      <c r="D248" s="56" t="s">
        <v>267</v>
      </c>
      <c r="E248" s="78"/>
    </row>
    <row r="249" spans="1:5" ht="15">
      <c r="A249" s="201"/>
      <c r="B249" s="29" t="s">
        <v>174</v>
      </c>
      <c r="C249" s="213"/>
      <c r="D249" s="56" t="s">
        <v>268</v>
      </c>
      <c r="E249" s="78"/>
    </row>
    <row r="250" spans="1:5" ht="15">
      <c r="A250" s="201"/>
      <c r="B250" s="29" t="s">
        <v>148</v>
      </c>
      <c r="C250" s="213"/>
      <c r="D250" s="56" t="s">
        <v>269</v>
      </c>
      <c r="E250" s="78"/>
    </row>
    <row r="251" spans="1:5" ht="15">
      <c r="A251" s="201"/>
      <c r="B251" s="29" t="s">
        <v>152</v>
      </c>
      <c r="C251" s="213"/>
      <c r="D251" s="56" t="s">
        <v>270</v>
      </c>
      <c r="E251" s="78"/>
    </row>
    <row r="252" spans="1:5" ht="15">
      <c r="A252" s="201"/>
      <c r="B252" s="29" t="s">
        <v>157</v>
      </c>
      <c r="C252" s="213"/>
      <c r="D252" s="56" t="s">
        <v>271</v>
      </c>
      <c r="E252" s="78"/>
    </row>
    <row r="253" spans="1:8" ht="15">
      <c r="A253" s="201"/>
      <c r="B253" s="29" t="s">
        <v>175</v>
      </c>
      <c r="C253" s="209"/>
      <c r="D253" s="56" t="s">
        <v>298</v>
      </c>
      <c r="E253" s="80"/>
      <c r="H253" s="9"/>
    </row>
    <row r="254" spans="1:5" ht="15">
      <c r="A254" s="200"/>
      <c r="B254" s="200"/>
      <c r="C254" s="200"/>
      <c r="D254" s="200"/>
      <c r="E254" s="200"/>
    </row>
    <row r="255" spans="1:6" ht="15.75">
      <c r="A255" s="36" t="s">
        <v>396</v>
      </c>
      <c r="B255" s="219" t="s">
        <v>289</v>
      </c>
      <c r="C255" s="219"/>
      <c r="D255" s="219"/>
      <c r="E255" s="219"/>
      <c r="F255" s="5"/>
    </row>
    <row r="256" spans="1:6" ht="15.75">
      <c r="A256" s="36"/>
      <c r="B256" s="219" t="s">
        <v>71</v>
      </c>
      <c r="C256" s="219"/>
      <c r="D256" s="219"/>
      <c r="E256" s="219"/>
      <c r="F256" s="5"/>
    </row>
    <row r="257" spans="1:6" ht="15.75">
      <c r="A257" s="4">
        <v>9</v>
      </c>
      <c r="B257" s="145" t="s">
        <v>47</v>
      </c>
      <c r="C257" s="146"/>
      <c r="D257" s="146"/>
      <c r="E257" s="199"/>
      <c r="F257" s="5"/>
    </row>
    <row r="258" spans="1:5" ht="30" customHeight="1">
      <c r="A258" s="201" t="s">
        <v>53</v>
      </c>
      <c r="B258" s="210" t="s">
        <v>221</v>
      </c>
      <c r="C258" s="211"/>
      <c r="D258" s="212"/>
      <c r="E258" s="123"/>
    </row>
    <row r="259" spans="1:7" ht="45.75">
      <c r="A259" s="201"/>
      <c r="B259" s="100" t="s">
        <v>192</v>
      </c>
      <c r="C259" s="208" t="s">
        <v>0</v>
      </c>
      <c r="D259" s="120" t="s">
        <v>207</v>
      </c>
      <c r="E259" s="78"/>
      <c r="G259" s="9"/>
    </row>
    <row r="260" spans="1:7" ht="15.75">
      <c r="A260" s="201"/>
      <c r="B260" s="29" t="s">
        <v>170</v>
      </c>
      <c r="C260" s="213"/>
      <c r="D260" s="37" t="s">
        <v>208</v>
      </c>
      <c r="E260" s="78"/>
      <c r="G260" s="9"/>
    </row>
    <row r="261" spans="1:5" ht="15.75">
      <c r="A261" s="201"/>
      <c r="B261" s="29" t="s">
        <v>171</v>
      </c>
      <c r="C261" s="213"/>
      <c r="D261" s="37" t="s">
        <v>209</v>
      </c>
      <c r="E261" s="78"/>
    </row>
    <row r="262" spans="1:5" ht="15.75">
      <c r="A262" s="201"/>
      <c r="B262" s="29" t="s">
        <v>172</v>
      </c>
      <c r="C262" s="213"/>
      <c r="D262" s="56" t="s">
        <v>210</v>
      </c>
      <c r="E262" s="79"/>
    </row>
    <row r="263" spans="1:5" ht="15.75">
      <c r="A263" s="201"/>
      <c r="B263" s="29" t="s">
        <v>174</v>
      </c>
      <c r="C263" s="213"/>
      <c r="D263" s="56" t="s">
        <v>211</v>
      </c>
      <c r="E263" s="135">
        <f>410.95+117.52+68.82+73.6+65.09+163.67+103.16+182.85+176.94</f>
        <v>1362.6</v>
      </c>
    </row>
    <row r="264" spans="1:5" ht="45.75">
      <c r="A264" s="201"/>
      <c r="B264" s="29" t="s">
        <v>148</v>
      </c>
      <c r="C264" s="213"/>
      <c r="D264" s="56" t="s">
        <v>212</v>
      </c>
      <c r="E264" s="78"/>
    </row>
    <row r="265" spans="1:5" ht="15.75">
      <c r="A265" s="201"/>
      <c r="B265" s="29" t="s">
        <v>152</v>
      </c>
      <c r="C265" s="213"/>
      <c r="D265" s="56" t="s">
        <v>213</v>
      </c>
      <c r="E265" s="78"/>
    </row>
    <row r="266" spans="1:5" ht="30.75">
      <c r="A266" s="201"/>
      <c r="B266" s="29" t="s">
        <v>157</v>
      </c>
      <c r="C266" s="213"/>
      <c r="D266" s="56" t="s">
        <v>214</v>
      </c>
      <c r="E266" s="78"/>
    </row>
    <row r="267" spans="1:5" ht="15.75">
      <c r="A267" s="201"/>
      <c r="B267" s="29" t="s">
        <v>175</v>
      </c>
      <c r="C267" s="209"/>
      <c r="D267" s="56" t="s">
        <v>215</v>
      </c>
      <c r="E267" s="80"/>
    </row>
    <row r="268" spans="1:5" ht="30" customHeight="1">
      <c r="A268" s="201" t="s">
        <v>83</v>
      </c>
      <c r="B268" s="210" t="s">
        <v>223</v>
      </c>
      <c r="C268" s="211"/>
      <c r="D268" s="212"/>
      <c r="E268" s="123"/>
    </row>
    <row r="269" spans="1:5" ht="26.25" customHeight="1">
      <c r="A269" s="201"/>
      <c r="B269" s="100" t="s">
        <v>195</v>
      </c>
      <c r="C269" s="96" t="s">
        <v>0</v>
      </c>
      <c r="D269" s="120" t="s">
        <v>216</v>
      </c>
      <c r="E269" s="136">
        <v>74.35</v>
      </c>
    </row>
    <row r="270" spans="1:5" ht="30" customHeight="1">
      <c r="A270" s="201" t="s">
        <v>243</v>
      </c>
      <c r="B270" s="210" t="s">
        <v>225</v>
      </c>
      <c r="C270" s="211"/>
      <c r="D270" s="212"/>
      <c r="E270" s="123"/>
    </row>
    <row r="271" spans="1:5" ht="21" customHeight="1">
      <c r="A271" s="201"/>
      <c r="B271" s="100" t="s">
        <v>173</v>
      </c>
      <c r="C271" s="208" t="s">
        <v>0</v>
      </c>
      <c r="D271" s="120" t="s">
        <v>218</v>
      </c>
      <c r="E271" s="137">
        <f>72.86+126.42</f>
        <v>199.28</v>
      </c>
    </row>
    <row r="272" spans="1:5" ht="19.5" customHeight="1">
      <c r="A272" s="201"/>
      <c r="B272" s="29" t="s">
        <v>195</v>
      </c>
      <c r="C272" s="209"/>
      <c r="D272" s="56" t="s">
        <v>219</v>
      </c>
      <c r="E272" s="80"/>
    </row>
    <row r="273" spans="1:5" ht="30" customHeight="1">
      <c r="A273" s="201" t="s">
        <v>244</v>
      </c>
      <c r="B273" s="210" t="s">
        <v>227</v>
      </c>
      <c r="C273" s="211"/>
      <c r="D273" s="212"/>
      <c r="E273" s="123"/>
    </row>
    <row r="274" spans="1:5" ht="29.25" customHeight="1">
      <c r="A274" s="201"/>
      <c r="B274" s="100" t="s">
        <v>195</v>
      </c>
      <c r="C274" s="96" t="s">
        <v>0</v>
      </c>
      <c r="D274" s="120" t="s">
        <v>220</v>
      </c>
      <c r="E274" s="136">
        <f>36.07</f>
        <v>36.07</v>
      </c>
    </row>
    <row r="275" spans="1:5" ht="51" customHeight="1">
      <c r="A275" s="201" t="s">
        <v>284</v>
      </c>
      <c r="B275" s="210" t="s">
        <v>292</v>
      </c>
      <c r="C275" s="211"/>
      <c r="D275" s="212"/>
      <c r="E275" s="138">
        <v>1</v>
      </c>
    </row>
    <row r="276" spans="1:5" ht="26.25" customHeight="1">
      <c r="A276" s="201"/>
      <c r="B276" s="100" t="s">
        <v>282</v>
      </c>
      <c r="C276" s="96" t="s">
        <v>40</v>
      </c>
      <c r="D276" s="120" t="s">
        <v>232</v>
      </c>
      <c r="E276" s="128"/>
    </row>
    <row r="277" spans="1:5" ht="51" customHeight="1">
      <c r="A277" s="201" t="s">
        <v>285</v>
      </c>
      <c r="B277" s="210" t="s">
        <v>293</v>
      </c>
      <c r="C277" s="211"/>
      <c r="D277" s="212"/>
      <c r="E277" s="138">
        <v>1</v>
      </c>
    </row>
    <row r="278" spans="1:5" ht="22.5" customHeight="1">
      <c r="A278" s="201"/>
      <c r="B278" s="100" t="s">
        <v>281</v>
      </c>
      <c r="C278" s="124" t="s">
        <v>40</v>
      </c>
      <c r="D278" s="120" t="s">
        <v>232</v>
      </c>
      <c r="E278" s="101"/>
    </row>
    <row r="279" spans="1:5" ht="15">
      <c r="A279" s="200"/>
      <c r="B279" s="200"/>
      <c r="C279" s="200"/>
      <c r="D279" s="200"/>
      <c r="E279" s="200"/>
    </row>
    <row r="280" spans="1:6" ht="15.75">
      <c r="A280" s="4">
        <v>10</v>
      </c>
      <c r="B280" s="145" t="s">
        <v>247</v>
      </c>
      <c r="C280" s="146"/>
      <c r="D280" s="146"/>
      <c r="E280" s="199"/>
      <c r="F280" s="5"/>
    </row>
    <row r="281" spans="1:5" ht="74.25" customHeight="1">
      <c r="A281" s="201" t="s">
        <v>55</v>
      </c>
      <c r="B281" s="210" t="s">
        <v>248</v>
      </c>
      <c r="C281" s="211"/>
      <c r="D281" s="212"/>
      <c r="E281" s="135">
        <f>1+1</f>
        <v>2</v>
      </c>
    </row>
    <row r="282" spans="1:7" ht="15">
      <c r="A282" s="201"/>
      <c r="B282" s="100" t="s">
        <v>282</v>
      </c>
      <c r="C282" s="208" t="s">
        <v>40</v>
      </c>
      <c r="D282" s="120" t="s">
        <v>324</v>
      </c>
      <c r="E282" s="102"/>
      <c r="G282" s="9"/>
    </row>
    <row r="283" spans="1:7" ht="15">
      <c r="A283" s="201"/>
      <c r="B283" s="29" t="s">
        <v>281</v>
      </c>
      <c r="C283" s="209"/>
      <c r="D283" s="56" t="s">
        <v>324</v>
      </c>
      <c r="E283" s="79"/>
      <c r="G283" s="9"/>
    </row>
    <row r="284" spans="1:5" ht="65.25" customHeight="1">
      <c r="A284" s="201" t="s">
        <v>56</v>
      </c>
      <c r="B284" s="210" t="s">
        <v>249</v>
      </c>
      <c r="C284" s="211"/>
      <c r="D284" s="212"/>
      <c r="E284" s="138">
        <f>1+1</f>
        <v>2</v>
      </c>
    </row>
    <row r="285" spans="1:7" ht="15">
      <c r="A285" s="201"/>
      <c r="B285" s="100" t="s">
        <v>282</v>
      </c>
      <c r="C285" s="208" t="s">
        <v>40</v>
      </c>
      <c r="D285" s="120" t="s">
        <v>324</v>
      </c>
      <c r="E285" s="102"/>
      <c r="G285" s="9"/>
    </row>
    <row r="286" spans="1:7" ht="15">
      <c r="A286" s="201"/>
      <c r="B286" s="29" t="s">
        <v>281</v>
      </c>
      <c r="C286" s="209"/>
      <c r="D286" s="56" t="s">
        <v>324</v>
      </c>
      <c r="E286" s="79"/>
      <c r="G286" s="9"/>
    </row>
    <row r="287" spans="1:5" ht="15">
      <c r="A287" s="200"/>
      <c r="B287" s="200"/>
      <c r="C287" s="200"/>
      <c r="D287" s="200"/>
      <c r="E287" s="200"/>
    </row>
    <row r="288" spans="1:5" ht="15">
      <c r="A288" s="200"/>
      <c r="B288" s="200"/>
      <c r="C288" s="200"/>
      <c r="D288" s="200"/>
      <c r="E288" s="200"/>
    </row>
    <row r="289" spans="1:6" ht="15.75">
      <c r="A289" s="4">
        <v>11</v>
      </c>
      <c r="B289" s="145" t="s">
        <v>72</v>
      </c>
      <c r="C289" s="146"/>
      <c r="D289" s="146"/>
      <c r="E289" s="199"/>
      <c r="F289" s="5"/>
    </row>
    <row r="290" spans="1:5" ht="30" customHeight="1">
      <c r="A290" s="201" t="s">
        <v>73</v>
      </c>
      <c r="B290" s="210" t="s">
        <v>229</v>
      </c>
      <c r="C290" s="211"/>
      <c r="D290" s="212"/>
      <c r="E290" s="77"/>
    </row>
    <row r="291" spans="1:11" ht="15">
      <c r="A291" s="201"/>
      <c r="B291" s="29" t="s">
        <v>217</v>
      </c>
      <c r="C291" s="208" t="s">
        <v>40</v>
      </c>
      <c r="D291" s="56" t="s">
        <v>245</v>
      </c>
      <c r="E291" s="78"/>
      <c r="G291" s="189"/>
      <c r="H291" s="189"/>
      <c r="I291" s="189"/>
      <c r="J291" s="189"/>
      <c r="K291" s="189"/>
    </row>
    <row r="292" spans="1:7" ht="15">
      <c r="A292" s="201"/>
      <c r="B292" s="29" t="s">
        <v>192</v>
      </c>
      <c r="C292" s="213"/>
      <c r="D292" s="56" t="s">
        <v>295</v>
      </c>
      <c r="E292" s="78"/>
      <c r="G292" s="9"/>
    </row>
    <row r="293" spans="1:7" ht="15">
      <c r="A293" s="201"/>
      <c r="B293" s="29" t="s">
        <v>170</v>
      </c>
      <c r="C293" s="213"/>
      <c r="D293" s="56" t="s">
        <v>197</v>
      </c>
      <c r="E293" s="79"/>
      <c r="G293" s="9"/>
    </row>
    <row r="294" spans="1:5" ht="15">
      <c r="A294" s="201"/>
      <c r="B294" s="29" t="s">
        <v>171</v>
      </c>
      <c r="C294" s="213"/>
      <c r="D294" s="56" t="s">
        <v>198</v>
      </c>
      <c r="E294" s="78"/>
    </row>
    <row r="295" spans="1:5" ht="15">
      <c r="A295" s="201"/>
      <c r="B295" s="29" t="s">
        <v>172</v>
      </c>
      <c r="C295" s="213"/>
      <c r="D295" s="56" t="s">
        <v>199</v>
      </c>
      <c r="E295" s="78"/>
    </row>
    <row r="296" spans="1:5" ht="15.75">
      <c r="A296" s="201"/>
      <c r="B296" s="29" t="s">
        <v>173</v>
      </c>
      <c r="C296" s="213"/>
      <c r="D296" s="56" t="s">
        <v>200</v>
      </c>
      <c r="E296" s="135">
        <f>31+22+11+3+4+4+11+3+13+8+21+8</f>
        <v>139</v>
      </c>
    </row>
    <row r="297" spans="1:5" ht="15">
      <c r="A297" s="201"/>
      <c r="B297" s="29" t="s">
        <v>195</v>
      </c>
      <c r="C297" s="213"/>
      <c r="D297" s="56" t="s">
        <v>201</v>
      </c>
      <c r="E297" s="78"/>
    </row>
    <row r="298" spans="1:5" ht="15">
      <c r="A298" s="201"/>
      <c r="B298" s="29" t="s">
        <v>174</v>
      </c>
      <c r="C298" s="213"/>
      <c r="D298" s="56" t="s">
        <v>202</v>
      </c>
      <c r="E298" s="78"/>
    </row>
    <row r="299" spans="1:5" ht="15">
      <c r="A299" s="201"/>
      <c r="B299" s="29" t="s">
        <v>148</v>
      </c>
      <c r="C299" s="213"/>
      <c r="D299" s="56" t="s">
        <v>203</v>
      </c>
      <c r="E299" s="78"/>
    </row>
    <row r="300" spans="1:5" ht="15">
      <c r="A300" s="201"/>
      <c r="B300" s="29" t="s">
        <v>152</v>
      </c>
      <c r="C300" s="213"/>
      <c r="D300" s="56" t="s">
        <v>204</v>
      </c>
      <c r="E300" s="78"/>
    </row>
    <row r="301" spans="1:5" ht="15">
      <c r="A301" s="201"/>
      <c r="B301" s="29" t="s">
        <v>157</v>
      </c>
      <c r="C301" s="213"/>
      <c r="D301" s="56" t="s">
        <v>205</v>
      </c>
      <c r="E301" s="78"/>
    </row>
    <row r="302" spans="1:8" ht="15">
      <c r="A302" s="201"/>
      <c r="B302" s="29" t="s">
        <v>175</v>
      </c>
      <c r="C302" s="209"/>
      <c r="D302" s="56" t="s">
        <v>296</v>
      </c>
      <c r="E302" s="80"/>
      <c r="H302" s="9"/>
    </row>
    <row r="303" spans="1:5" ht="62.25" customHeight="1">
      <c r="A303" s="201" t="s">
        <v>250</v>
      </c>
      <c r="B303" s="210" t="s">
        <v>294</v>
      </c>
      <c r="C303" s="211"/>
      <c r="D303" s="212"/>
      <c r="E303" s="77"/>
    </row>
    <row r="304" spans="1:11" ht="15">
      <c r="A304" s="201"/>
      <c r="B304" s="29" t="s">
        <v>217</v>
      </c>
      <c r="C304" s="208" t="s">
        <v>40</v>
      </c>
      <c r="D304" s="56" t="s">
        <v>245</v>
      </c>
      <c r="E304" s="78"/>
      <c r="G304" s="189"/>
      <c r="H304" s="189"/>
      <c r="I304" s="189"/>
      <c r="J304" s="189"/>
      <c r="K304" s="189"/>
    </row>
    <row r="305" spans="1:7" ht="15">
      <c r="A305" s="201"/>
      <c r="B305" s="29" t="s">
        <v>192</v>
      </c>
      <c r="C305" s="213"/>
      <c r="D305" s="56" t="s">
        <v>295</v>
      </c>
      <c r="E305" s="78"/>
      <c r="G305" s="9"/>
    </row>
    <row r="306" spans="1:7" ht="15">
      <c r="A306" s="201"/>
      <c r="B306" s="29" t="s">
        <v>170</v>
      </c>
      <c r="C306" s="213"/>
      <c r="D306" s="56" t="s">
        <v>197</v>
      </c>
      <c r="E306" s="79"/>
      <c r="G306" s="9"/>
    </row>
    <row r="307" spans="1:5" ht="15.75">
      <c r="A307" s="201"/>
      <c r="B307" s="29" t="s">
        <v>171</v>
      </c>
      <c r="C307" s="213"/>
      <c r="D307" s="56" t="s">
        <v>198</v>
      </c>
      <c r="E307" s="135">
        <f>31+22+11+3+4+4+11+3+13+8+21+8</f>
        <v>139</v>
      </c>
    </row>
    <row r="308" spans="1:5" ht="15">
      <c r="A308" s="201"/>
      <c r="B308" s="29" t="s">
        <v>172</v>
      </c>
      <c r="C308" s="213"/>
      <c r="D308" s="56" t="s">
        <v>199</v>
      </c>
      <c r="E308" s="78"/>
    </row>
    <row r="309" spans="1:5" ht="15">
      <c r="A309" s="201"/>
      <c r="B309" s="29" t="s">
        <v>173</v>
      </c>
      <c r="C309" s="213"/>
      <c r="D309" s="56" t="s">
        <v>200</v>
      </c>
      <c r="E309" s="79"/>
    </row>
    <row r="310" spans="1:5" ht="15">
      <c r="A310" s="201"/>
      <c r="B310" s="29" t="s">
        <v>195</v>
      </c>
      <c r="C310" s="213"/>
      <c r="D310" s="56" t="s">
        <v>201</v>
      </c>
      <c r="E310" s="78"/>
    </row>
    <row r="311" spans="1:5" ht="15">
      <c r="A311" s="201"/>
      <c r="B311" s="29" t="s">
        <v>174</v>
      </c>
      <c r="C311" s="213"/>
      <c r="D311" s="56" t="s">
        <v>202</v>
      </c>
      <c r="E311" s="78"/>
    </row>
    <row r="312" spans="1:5" ht="15">
      <c r="A312" s="201"/>
      <c r="B312" s="29" t="s">
        <v>148</v>
      </c>
      <c r="C312" s="213"/>
      <c r="D312" s="56" t="s">
        <v>203</v>
      </c>
      <c r="E312" s="78"/>
    </row>
    <row r="313" spans="1:5" ht="15">
      <c r="A313" s="201"/>
      <c r="B313" s="29" t="s">
        <v>152</v>
      </c>
      <c r="C313" s="213"/>
      <c r="D313" s="56" t="s">
        <v>204</v>
      </c>
      <c r="E313" s="78"/>
    </row>
    <row r="314" spans="1:5" ht="15">
      <c r="A314" s="201"/>
      <c r="B314" s="29" t="s">
        <v>157</v>
      </c>
      <c r="C314" s="213"/>
      <c r="D314" s="56" t="s">
        <v>205</v>
      </c>
      <c r="E314" s="78"/>
    </row>
    <row r="315" spans="1:8" ht="15">
      <c r="A315" s="201"/>
      <c r="B315" s="29" t="s">
        <v>175</v>
      </c>
      <c r="C315" s="209"/>
      <c r="D315" s="56" t="s">
        <v>296</v>
      </c>
      <c r="E315" s="80"/>
      <c r="H315" s="9"/>
    </row>
    <row r="316" spans="1:6" ht="15.75">
      <c r="A316" s="4" t="s">
        <v>73</v>
      </c>
      <c r="B316" s="145" t="s">
        <v>257</v>
      </c>
      <c r="C316" s="146"/>
      <c r="D316" s="146"/>
      <c r="E316" s="199"/>
      <c r="F316" s="5"/>
    </row>
    <row r="317" spans="1:5" ht="51" customHeight="1">
      <c r="A317" s="205" t="s">
        <v>256</v>
      </c>
      <c r="B317" s="210" t="s">
        <v>407</v>
      </c>
      <c r="C317" s="211"/>
      <c r="D317" s="212"/>
      <c r="E317" s="77"/>
    </row>
    <row r="318" spans="1:5" ht="15.75">
      <c r="A318" s="206"/>
      <c r="B318" s="38" t="s">
        <v>275</v>
      </c>
      <c r="C318" s="208" t="s">
        <v>19</v>
      </c>
      <c r="D318" s="202" t="s">
        <v>277</v>
      </c>
      <c r="E318" s="135">
        <f>70.44</f>
        <v>70.44</v>
      </c>
    </row>
    <row r="319" spans="1:5" ht="15">
      <c r="A319" s="206"/>
      <c r="B319" s="38" t="s">
        <v>276</v>
      </c>
      <c r="C319" s="213"/>
      <c r="D319" s="203"/>
      <c r="E319" s="78"/>
    </row>
    <row r="320" spans="1:5" ht="15.75">
      <c r="A320" s="207"/>
      <c r="B320" s="81" t="s">
        <v>273</v>
      </c>
      <c r="C320" s="209"/>
      <c r="D320" s="204"/>
      <c r="E320" s="78"/>
    </row>
    <row r="321" spans="1:5" ht="52.5" customHeight="1">
      <c r="A321" s="201" t="s">
        <v>260</v>
      </c>
      <c r="B321" s="210" t="s">
        <v>392</v>
      </c>
      <c r="C321" s="211"/>
      <c r="D321" s="212"/>
      <c r="E321" s="77"/>
    </row>
    <row r="322" spans="1:5" ht="15.75">
      <c r="A322" s="201"/>
      <c r="B322" s="126" t="s">
        <v>272</v>
      </c>
      <c r="C322" s="208" t="s">
        <v>19</v>
      </c>
      <c r="D322" s="216" t="s">
        <v>280</v>
      </c>
      <c r="E322" s="73"/>
    </row>
    <row r="323" spans="1:5" ht="15" customHeight="1">
      <c r="A323" s="201"/>
      <c r="B323" s="38" t="s">
        <v>278</v>
      </c>
      <c r="C323" s="213"/>
      <c r="D323" s="217"/>
      <c r="E323" s="134">
        <v>68.13</v>
      </c>
    </row>
    <row r="324" spans="1:5" ht="15">
      <c r="A324" s="201"/>
      <c r="B324" s="38" t="s">
        <v>279</v>
      </c>
      <c r="C324" s="213"/>
      <c r="D324" s="217"/>
      <c r="E324" s="73"/>
    </row>
    <row r="325" spans="1:5" ht="15.75">
      <c r="A325" s="201"/>
      <c r="B325" s="81" t="s">
        <v>273</v>
      </c>
      <c r="C325" s="213"/>
      <c r="D325" s="217"/>
      <c r="E325" s="73"/>
    </row>
    <row r="326" spans="1:5" ht="24" customHeight="1">
      <c r="A326" s="201"/>
      <c r="B326" s="38" t="s">
        <v>274</v>
      </c>
      <c r="C326" s="209"/>
      <c r="D326" s="218"/>
      <c r="E326" s="75"/>
    </row>
    <row r="327" spans="1:5" ht="54.75" customHeight="1">
      <c r="A327" s="201" t="s">
        <v>261</v>
      </c>
      <c r="B327" s="210" t="s">
        <v>387</v>
      </c>
      <c r="C327" s="211"/>
      <c r="D327" s="212"/>
      <c r="E327" s="77"/>
    </row>
    <row r="328" spans="1:11" ht="15">
      <c r="A328" s="201"/>
      <c r="B328" s="29" t="s">
        <v>217</v>
      </c>
      <c r="C328" s="208" t="s">
        <v>0</v>
      </c>
      <c r="D328" s="56" t="s">
        <v>262</v>
      </c>
      <c r="E328" s="78"/>
      <c r="G328" s="189"/>
      <c r="H328" s="189"/>
      <c r="I328" s="189"/>
      <c r="J328" s="189"/>
      <c r="K328" s="189"/>
    </row>
    <row r="329" spans="1:7" ht="15">
      <c r="A329" s="201"/>
      <c r="B329" s="29" t="s">
        <v>192</v>
      </c>
      <c r="C329" s="213"/>
      <c r="D329" s="56" t="s">
        <v>297</v>
      </c>
      <c r="E329" s="78"/>
      <c r="G329" s="9"/>
    </row>
    <row r="330" spans="1:7" ht="15">
      <c r="A330" s="201"/>
      <c r="B330" s="29" t="s">
        <v>170</v>
      </c>
      <c r="C330" s="213"/>
      <c r="D330" s="56" t="s">
        <v>263</v>
      </c>
      <c r="E330" s="79"/>
      <c r="G330" s="9"/>
    </row>
    <row r="331" spans="1:5" ht="15">
      <c r="A331" s="201"/>
      <c r="B331" s="29" t="s">
        <v>171</v>
      </c>
      <c r="C331" s="213"/>
      <c r="D331" s="56" t="s">
        <v>264</v>
      </c>
      <c r="E331" s="78"/>
    </row>
    <row r="332" spans="1:5" ht="15.75">
      <c r="A332" s="201"/>
      <c r="B332" s="29" t="s">
        <v>172</v>
      </c>
      <c r="C332" s="213"/>
      <c r="D332" s="56" t="s">
        <v>265</v>
      </c>
      <c r="E332" s="135">
        <f>77.5+44+22+6+8+8+22+6+26+16+42+16</f>
        <v>293.5</v>
      </c>
    </row>
    <row r="333" spans="1:5" ht="15">
      <c r="A333" s="201"/>
      <c r="B333" s="29" t="s">
        <v>173</v>
      </c>
      <c r="C333" s="213"/>
      <c r="D333" s="56" t="s">
        <v>266</v>
      </c>
      <c r="E333" s="79"/>
    </row>
    <row r="334" spans="1:5" ht="15">
      <c r="A334" s="201"/>
      <c r="B334" s="29" t="s">
        <v>195</v>
      </c>
      <c r="C334" s="213"/>
      <c r="D334" s="56" t="s">
        <v>267</v>
      </c>
      <c r="E334" s="78"/>
    </row>
    <row r="335" spans="1:5" ht="15">
      <c r="A335" s="201"/>
      <c r="B335" s="29" t="s">
        <v>174</v>
      </c>
      <c r="C335" s="213"/>
      <c r="D335" s="56" t="s">
        <v>268</v>
      </c>
      <c r="E335" s="78"/>
    </row>
    <row r="336" spans="1:5" ht="15">
      <c r="A336" s="201"/>
      <c r="B336" s="29" t="s">
        <v>148</v>
      </c>
      <c r="C336" s="213"/>
      <c r="D336" s="56" t="s">
        <v>269</v>
      </c>
      <c r="E336" s="78"/>
    </row>
    <row r="337" spans="1:5" ht="15">
      <c r="A337" s="201"/>
      <c r="B337" s="29" t="s">
        <v>152</v>
      </c>
      <c r="C337" s="213"/>
      <c r="D337" s="56" t="s">
        <v>270</v>
      </c>
      <c r="E337" s="78"/>
    </row>
    <row r="338" spans="1:5" ht="15">
      <c r="A338" s="201"/>
      <c r="B338" s="29" t="s">
        <v>157</v>
      </c>
      <c r="C338" s="213"/>
      <c r="D338" s="56" t="s">
        <v>271</v>
      </c>
      <c r="E338" s="78"/>
    </row>
    <row r="339" spans="1:8" ht="15">
      <c r="A339" s="201"/>
      <c r="B339" s="29" t="s">
        <v>175</v>
      </c>
      <c r="C339" s="209"/>
      <c r="D339" s="56" t="s">
        <v>298</v>
      </c>
      <c r="E339" s="80"/>
      <c r="H339" s="9"/>
    </row>
    <row r="340" spans="1:5" ht="15">
      <c r="A340" s="200"/>
      <c r="B340" s="200"/>
      <c r="C340" s="200"/>
      <c r="D340" s="200"/>
      <c r="E340" s="200"/>
    </row>
    <row r="341" spans="1:6" ht="15.75">
      <c r="A341" s="4">
        <v>12</v>
      </c>
      <c r="B341" s="145" t="s">
        <v>88</v>
      </c>
      <c r="C341" s="146"/>
      <c r="D341" s="146"/>
      <c r="E341" s="199"/>
      <c r="F341" s="5"/>
    </row>
    <row r="342" spans="1:5" ht="60" customHeight="1">
      <c r="A342" s="201" t="s">
        <v>251</v>
      </c>
      <c r="B342" s="210" t="s">
        <v>231</v>
      </c>
      <c r="C342" s="211"/>
      <c r="D342" s="212"/>
      <c r="E342" s="138">
        <v>1</v>
      </c>
    </row>
    <row r="343" spans="1:11" ht="15.75">
      <c r="A343" s="201"/>
      <c r="B343" s="100" t="s">
        <v>195</v>
      </c>
      <c r="C343" s="96" t="s">
        <v>40</v>
      </c>
      <c r="D343" s="120" t="s">
        <v>232</v>
      </c>
      <c r="E343" s="139"/>
      <c r="G343" s="189"/>
      <c r="H343" s="189"/>
      <c r="I343" s="189"/>
      <c r="J343" s="189"/>
      <c r="K343" s="189"/>
    </row>
    <row r="344" spans="1:5" ht="15">
      <c r="A344" s="47"/>
      <c r="B344" s="46"/>
      <c r="C344" s="47"/>
      <c r="D344" s="48"/>
      <c r="E344" s="48"/>
    </row>
    <row r="345" spans="1:5" ht="15">
      <c r="A345" s="8"/>
      <c r="B345" s="42"/>
      <c r="C345" s="13"/>
      <c r="D345" s="43"/>
      <c r="E345" s="44"/>
    </row>
    <row r="346" spans="1:5" ht="15">
      <c r="A346" s="8"/>
      <c r="B346" s="159" t="s">
        <v>420</v>
      </c>
      <c r="C346" s="159"/>
      <c r="D346" s="159"/>
      <c r="E346" s="44"/>
    </row>
    <row r="347" spans="1:5" ht="15">
      <c r="A347" s="8"/>
      <c r="B347" s="33"/>
      <c r="C347" s="34"/>
      <c r="D347" s="34"/>
      <c r="E347" s="44"/>
    </row>
    <row r="348" spans="1:5" ht="15">
      <c r="A348" s="8"/>
      <c r="B348" s="33"/>
      <c r="C348" s="34"/>
      <c r="D348" s="34"/>
      <c r="E348" s="44"/>
    </row>
    <row r="349" spans="1:5" ht="15">
      <c r="A349" s="8"/>
      <c r="B349" s="159"/>
      <c r="C349" s="159"/>
      <c r="D349" s="159"/>
      <c r="E349" s="44"/>
    </row>
    <row r="350" spans="1:10" ht="95.25" customHeight="1">
      <c r="A350" s="158" t="s">
        <v>372</v>
      </c>
      <c r="B350" s="158"/>
      <c r="C350" s="158"/>
      <c r="D350" s="158"/>
      <c r="E350" s="158"/>
      <c r="F350" s="90"/>
      <c r="G350" s="90"/>
      <c r="H350" s="90"/>
      <c r="I350" s="90"/>
      <c r="J350" s="90"/>
    </row>
  </sheetData>
  <sheetProtection/>
  <mergeCells count="168">
    <mergeCell ref="B327:D327"/>
    <mergeCell ref="C328:C339"/>
    <mergeCell ref="B342:D342"/>
    <mergeCell ref="B23:D23"/>
    <mergeCell ref="B30:D30"/>
    <mergeCell ref="B68:D68"/>
    <mergeCell ref="B75:D75"/>
    <mergeCell ref="B86:D86"/>
    <mergeCell ref="B102:D102"/>
    <mergeCell ref="B106:D106"/>
    <mergeCell ref="B303:D303"/>
    <mergeCell ref="C304:C315"/>
    <mergeCell ref="B317:D317"/>
    <mergeCell ref="C318:C320"/>
    <mergeCell ref="B321:D321"/>
    <mergeCell ref="C322:C326"/>
    <mergeCell ref="D322:D326"/>
    <mergeCell ref="B275:D275"/>
    <mergeCell ref="C228:C239"/>
    <mergeCell ref="C242:C253"/>
    <mergeCell ref="C259:C267"/>
    <mergeCell ref="C282:C283"/>
    <mergeCell ref="C285:C286"/>
    <mergeCell ref="B281:D281"/>
    <mergeCell ref="B284:D284"/>
    <mergeCell ref="B241:D241"/>
    <mergeCell ref="B258:D258"/>
    <mergeCell ref="C176:C186"/>
    <mergeCell ref="C188:C198"/>
    <mergeCell ref="C202:C213"/>
    <mergeCell ref="B187:D187"/>
    <mergeCell ref="B201:D201"/>
    <mergeCell ref="B214:D214"/>
    <mergeCell ref="C125:C128"/>
    <mergeCell ref="C134:C136"/>
    <mergeCell ref="B117:D117"/>
    <mergeCell ref="B124:D124"/>
    <mergeCell ref="B133:D133"/>
    <mergeCell ref="B131:E131"/>
    <mergeCell ref="B118:B120"/>
    <mergeCell ref="B132:E132"/>
    <mergeCell ref="B130:E130"/>
    <mergeCell ref="C107:C112"/>
    <mergeCell ref="C114:C116"/>
    <mergeCell ref="B113:D113"/>
    <mergeCell ref="B137:D137"/>
    <mergeCell ref="C69:C74"/>
    <mergeCell ref="C76:C83"/>
    <mergeCell ref="C87:C101"/>
    <mergeCell ref="A129:E129"/>
    <mergeCell ref="A133:A136"/>
    <mergeCell ref="C118:C123"/>
    <mergeCell ref="B147:D147"/>
    <mergeCell ref="B161:D161"/>
    <mergeCell ref="A113:A116"/>
    <mergeCell ref="B5:E5"/>
    <mergeCell ref="B21:E21"/>
    <mergeCell ref="C24:C29"/>
    <mergeCell ref="C31:C67"/>
    <mergeCell ref="D134:D136"/>
    <mergeCell ref="A159:E159"/>
    <mergeCell ref="C103:C105"/>
    <mergeCell ref="B175:D175"/>
    <mergeCell ref="A350:E350"/>
    <mergeCell ref="A340:E340"/>
    <mergeCell ref="B316:E316"/>
    <mergeCell ref="A327:A339"/>
    <mergeCell ref="B280:E280"/>
    <mergeCell ref="A281:A283"/>
    <mergeCell ref="A342:A343"/>
    <mergeCell ref="B256:E256"/>
    <mergeCell ref="B349:D349"/>
    <mergeCell ref="D139:D142"/>
    <mergeCell ref="C144:C146"/>
    <mergeCell ref="A117:A123"/>
    <mergeCell ref="A106:A112"/>
    <mergeCell ref="A84:E84"/>
    <mergeCell ref="B87:B92"/>
    <mergeCell ref="B93:B96"/>
    <mergeCell ref="B110:B111"/>
    <mergeCell ref="A86:A101"/>
    <mergeCell ref="B143:D143"/>
    <mergeCell ref="A75:A83"/>
    <mergeCell ref="A68:A74"/>
    <mergeCell ref="B53:B57"/>
    <mergeCell ref="B58:B63"/>
    <mergeCell ref="B64:B67"/>
    <mergeCell ref="A30:A67"/>
    <mergeCell ref="A1:E1"/>
    <mergeCell ref="B6:E6"/>
    <mergeCell ref="B76:B77"/>
    <mergeCell ref="A124:A128"/>
    <mergeCell ref="B80:B81"/>
    <mergeCell ref="A23:A29"/>
    <mergeCell ref="B107:B109"/>
    <mergeCell ref="B100:B101"/>
    <mergeCell ref="B42:B47"/>
    <mergeCell ref="A2:E2"/>
    <mergeCell ref="A3:E3"/>
    <mergeCell ref="A102:A105"/>
    <mergeCell ref="A15:E15"/>
    <mergeCell ref="A20:E20"/>
    <mergeCell ref="B16:E16"/>
    <mergeCell ref="B48:B52"/>
    <mergeCell ref="B31:B41"/>
    <mergeCell ref="B85:E85"/>
    <mergeCell ref="B97:B99"/>
    <mergeCell ref="B22:E22"/>
    <mergeCell ref="D144:D146"/>
    <mergeCell ref="B200:E200"/>
    <mergeCell ref="B289:E289"/>
    <mergeCell ref="C138:C142"/>
    <mergeCell ref="C148:C158"/>
    <mergeCell ref="D149:D152"/>
    <mergeCell ref="D153:D158"/>
    <mergeCell ref="A254:E254"/>
    <mergeCell ref="B255:E255"/>
    <mergeCell ref="A147:A158"/>
    <mergeCell ref="A143:A146"/>
    <mergeCell ref="A227:A239"/>
    <mergeCell ref="A273:A274"/>
    <mergeCell ref="B277:D277"/>
    <mergeCell ref="A137:A142"/>
    <mergeCell ref="A161:A172"/>
    <mergeCell ref="A187:A198"/>
    <mergeCell ref="B174:E174"/>
    <mergeCell ref="A175:A186"/>
    <mergeCell ref="C162:C172"/>
    <mergeCell ref="G228:K228"/>
    <mergeCell ref="B240:E240"/>
    <mergeCell ref="A199:E199"/>
    <mergeCell ref="G215:K215"/>
    <mergeCell ref="G202:K202"/>
    <mergeCell ref="G242:K242"/>
    <mergeCell ref="A201:A213"/>
    <mergeCell ref="C215:C226"/>
    <mergeCell ref="A214:A226"/>
    <mergeCell ref="B227:D227"/>
    <mergeCell ref="G328:K328"/>
    <mergeCell ref="A303:A315"/>
    <mergeCell ref="A287:E287"/>
    <mergeCell ref="G304:K304"/>
    <mergeCell ref="G291:K291"/>
    <mergeCell ref="A279:E279"/>
    <mergeCell ref="A290:A302"/>
    <mergeCell ref="A321:A326"/>
    <mergeCell ref="B290:D290"/>
    <mergeCell ref="C291:C302"/>
    <mergeCell ref="A275:A276"/>
    <mergeCell ref="D318:D320"/>
    <mergeCell ref="A317:A320"/>
    <mergeCell ref="A288:E288"/>
    <mergeCell ref="B341:E341"/>
    <mergeCell ref="A268:A269"/>
    <mergeCell ref="C271:C272"/>
    <mergeCell ref="B268:D268"/>
    <mergeCell ref="B270:D270"/>
    <mergeCell ref="B273:D273"/>
    <mergeCell ref="G343:K343"/>
    <mergeCell ref="B160:E160"/>
    <mergeCell ref="A173:E173"/>
    <mergeCell ref="A284:A286"/>
    <mergeCell ref="B346:D346"/>
    <mergeCell ref="A241:A253"/>
    <mergeCell ref="A258:A267"/>
    <mergeCell ref="A270:A272"/>
    <mergeCell ref="B257:E257"/>
    <mergeCell ref="A277:A278"/>
  </mergeCells>
  <printOptions horizontalCentered="1"/>
  <pageMargins left="0.7086614173228347" right="0.3937007874015748" top="1.3779527559055118" bottom="0.984251968503937" header="0" footer="0"/>
  <pageSetup fitToHeight="12" horizontalDpi="600" verticalDpi="600" orientation="portrait" paperSize="9" scale="90" r:id="rId2"/>
  <headerFooter>
    <oddHeader>&amp;L&amp;G</oddHeader>
    <oddFooter>&amp;CPágina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LICITACAO</cp:lastModifiedBy>
  <cp:lastPrinted>2020-01-06T13:51:03Z</cp:lastPrinted>
  <dcterms:created xsi:type="dcterms:W3CDTF">2009-01-22T17:07:44Z</dcterms:created>
  <dcterms:modified xsi:type="dcterms:W3CDTF">2020-03-09T16:35:05Z</dcterms:modified>
  <cp:category/>
  <cp:version/>
  <cp:contentType/>
  <cp:contentStatus/>
</cp:coreProperties>
</file>